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3415" windowHeight="9405" activeTab="0"/>
  </bookViews>
  <sheets>
    <sheet name="приложение 6 1" sheetId="1" r:id="rId1"/>
  </sheets>
  <definedNames>
    <definedName name="_xlnm.Print_Area" localSheetId="0">'приложение 6 1'!$A$1:$AU$78</definedName>
  </definedNames>
  <calcPr fullCalcOnLoad="1"/>
</workbook>
</file>

<file path=xl/sharedStrings.xml><?xml version="1.0" encoding="utf-8"?>
<sst xmlns="http://schemas.openxmlformats.org/spreadsheetml/2006/main" count="152" uniqueCount="103">
  <si>
    <t xml:space="preserve"> </t>
  </si>
  <si>
    <t>Приложение  № 7.1</t>
  </si>
  <si>
    <t>к приказу Минэнерго России</t>
  </si>
  <si>
    <t>Приложение  № 6.1</t>
  </si>
  <si>
    <t>от «___»________2010 г. №____</t>
  </si>
  <si>
    <t>Отчет об исполнении инвестиционной программы АО "Улан-Удэ Энерго" за 2015г., млн. рублей
(представляется ежегодно)</t>
  </si>
  <si>
    <t>Утверждаю</t>
  </si>
  <si>
    <t>Генеральный директор</t>
  </si>
  <si>
    <t>О.М.Шпилевский</t>
  </si>
  <si>
    <t>(подпись)</t>
  </si>
  <si>
    <t>«___»________ 20__ года</t>
  </si>
  <si>
    <t>разница факт/план 1 п/г</t>
  </si>
  <si>
    <t>М.П.</t>
  </si>
  <si>
    <t>Объем финансирования с НДС, млн.руб.
 [отчетный год]</t>
  </si>
  <si>
    <t>Освоено (закрыто актами выполненных работ) млн.рублей</t>
  </si>
  <si>
    <t>Введено оформлено актами ввода в эксплуатацию)
млн.рублей</t>
  </si>
  <si>
    <t xml:space="preserve">Осталось профинансировать по результатам отчетного периода *  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</si>
  <si>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</si>
  <si>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</si>
  <si>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</si>
  <si>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</si>
  <si>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</si>
  <si>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</si>
  <si>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</si>
  <si>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</si>
  <si>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</si>
  <si>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</si>
  <si>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</si>
  <si>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</si>
  <si>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% выполнения</t>
  </si>
  <si>
    <t>Амортизация</t>
  </si>
  <si>
    <t>план</t>
  </si>
  <si>
    <t>факт</t>
  </si>
  <si>
    <t>А</t>
  </si>
  <si>
    <t>П</t>
  </si>
  <si>
    <t>Всего</t>
  </si>
  <si>
    <t>9 мес</t>
  </si>
  <si>
    <t xml:space="preserve">Всего </t>
  </si>
  <si>
    <t>3кв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</si>
  <si>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</si>
  <si>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</si>
  <si>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</si>
  <si>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</si>
  <si>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</si>
  <si>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Реконструкция КЛ-6 кВ для перевода Ф.44 "ТЭЦ-1" на РП-9</t>
  </si>
  <si>
    <t>Изменено техническое решение. Выполнение 4 кв.2015г.</t>
  </si>
  <si>
    <t xml:space="preserve">Реконструкция КЛ-6 кВ ф.8, ф.42 ТЭЦ-1 от ПС-110/6 кВ "ЛВРЗ" до РП-8 </t>
  </si>
  <si>
    <t xml:space="preserve">Реконструкция  КЛ-6 кВ ф.23 ТЭЦ-1 от ПС 35/6 кВ "Горсад" до ТП-340  </t>
  </si>
  <si>
    <t>Реконструкция административного здания  (ЦОК)</t>
  </si>
  <si>
    <t>Замена старых двигателей на автомобиле на новые Д-240 ( тракторный МТЗ модернизированный под ЗИЛ  для ЗИЛ-131, ЗИЛ-4331)</t>
  </si>
  <si>
    <t>Создание систем противоаварийной и режимной автоматики</t>
  </si>
  <si>
    <t>Большой объем поступивших заявлений по обеспечению технологичнского присоединения льготной категории заявителей</t>
  </si>
  <si>
    <t>Оснащение объектов инженерно-техническими средствами (Система допуска,система видеонаблюдения)</t>
  </si>
  <si>
    <t>Создание систем телемеханики и связи</t>
  </si>
  <si>
    <t>АСДТУ на ПС 35/10 кВ "Сосновая " 3 этап</t>
  </si>
  <si>
    <t>Новое строительство</t>
  </si>
  <si>
    <t>Оборудование связи  на ТП для системы АСКУЭ ( установка концентраторов)</t>
  </si>
  <si>
    <t>Корректировка ИПР. 4 квартал.</t>
  </si>
  <si>
    <t>Установка средств розничного рынка электроэнергии на 2015-2017гг</t>
  </si>
  <si>
    <t>Установка приборов технического учета на ТП</t>
  </si>
  <si>
    <t>Установка приборов коммерческого учета (ТП-730, ТП-2098, ТП-377) (1 этап)</t>
  </si>
  <si>
    <t>Прочее новое строительство</t>
  </si>
  <si>
    <t>Обеспечение технологическим присоединением льготной категории заявителей до 15кВт и заявмтелей с мощностью свыше 15 кВт</t>
  </si>
  <si>
    <t>Установка силового оборудования в ТП-128 мкр</t>
  </si>
  <si>
    <t>Приобретение электросетевого имущества ( в т.ч. ООО "Электроком",ООО "Сельватранс",СНТ "Тепловик", ДНТ "Кооператор", группа индивидуальных застройщиков по ул.Кристальная и др.)</t>
  </si>
  <si>
    <t>Большой объем интеграции сетей</t>
  </si>
  <si>
    <t>Оборудование не входящее в сметы строек в т.ч.:</t>
  </si>
  <si>
    <t>Приобретение автотранспорта (БКМ)</t>
  </si>
  <si>
    <t>Финансирование 4 кв.</t>
  </si>
  <si>
    <t>Приобретение офисной АТС</t>
  </si>
  <si>
    <t>Приобретение серверного  оборудования</t>
  </si>
  <si>
    <t>Генератор бензиновый</t>
  </si>
  <si>
    <t>Прибор Энергетика многофункциональный портативный Энергомера</t>
  </si>
  <si>
    <t>Поисковый измеритильный комплекс КИП-2Т</t>
  </si>
  <si>
    <t>Измеритель неоднородности линий Р-5-24</t>
  </si>
  <si>
    <t>Многофункциональный измеритель MRP-200</t>
  </si>
  <si>
    <t>Комплекс базразборного контроля высоковольтных выклчателей ИКВ-03</t>
  </si>
  <si>
    <t>Измеритель сопротивления изоляции MIC-2500</t>
  </si>
  <si>
    <t>Прибор для проверки РЗА Ретом</t>
  </si>
  <si>
    <t>ПИР будущих лет в том числе:</t>
  </si>
  <si>
    <t>ПСД "Реконструкция КЛ-6 кВ ф.4 ПС 110/35/6 кВ "Районная"выход на ВЛ-6 кВ на РП-18"</t>
  </si>
  <si>
    <t>ПСД "Реконструкция КЛ-6 кВ ф.7 ПС ПС 110/35/6 кВ "Районная" на ТП-1096"</t>
  </si>
  <si>
    <t>ПСД "Инженерно технические средства защит, направленные на обеспечение антитерроричтической деятельности и противодиверсионной защищенности 30РП электросетевого комплекса общества. Установка охранного комплекса "Цербер"</t>
  </si>
  <si>
    <t>ПСД "Реконструкция ВЛ-10 кВ от ПС 110/10 кВ "Бурводстрой"  до линии отпайки в сторону ДНТ "Дружба -2" на двухцепную ВЛЗ-10 кВ"</t>
  </si>
  <si>
    <t>Объекты, вне утверженной ИПР</t>
  </si>
  <si>
    <t xml:space="preserve">Сосновая </t>
  </si>
  <si>
    <t>ГПП Строительная С транс С</t>
  </si>
  <si>
    <t>128 кв</t>
  </si>
  <si>
    <t>Зем участок Павлова 61/1</t>
  </si>
  <si>
    <t>Центральная ПС (оплата по агентскому договору)</t>
  </si>
  <si>
    <t>Автомобили (выкупили 2)</t>
  </si>
  <si>
    <t>Строите-во ТП-1559 Икат Плюс</t>
  </si>
  <si>
    <t>Прибор энерг</t>
  </si>
  <si>
    <t>Прицеп</t>
  </si>
  <si>
    <t>Трансформатор  (аварийиный запас)</t>
  </si>
  <si>
    <t xml:space="preserve">Трансформатор  (аварийиный запас) большой </t>
  </si>
  <si>
    <t>Генератор</t>
  </si>
  <si>
    <t>ПИР "Цементная"</t>
  </si>
  <si>
    <t>Мебель</t>
  </si>
  <si>
    <t>Взаимозачет Оплата ПИР "Гараж"</t>
  </si>
  <si>
    <t>Приобретение ОС</t>
  </si>
  <si>
    <t>Установка приборов коммерческого учета</t>
  </si>
  <si>
    <t xml:space="preserve">ЛОРПА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</si>
</sst>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/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164" fontId="2" fillId="0" borderId="0" xfId="54" applyNumberFormat="1" applyFont="1" applyFill="1">
      <alignment/>
      <protection/>
    </xf>
    <xf numFmtId="164" fontId="2" fillId="33" borderId="0" xfId="54" applyNumberFormat="1" applyFont="1" applyFill="1">
      <alignment/>
      <protection/>
    </xf>
    <xf numFmtId="164" fontId="2" fillId="0" borderId="0" xfId="54" applyNumberFormat="1" applyFont="1" applyFill="1" applyAlignment="1">
      <alignment horizontal="center" vertical="center"/>
      <protection/>
    </xf>
    <xf numFmtId="0" fontId="2" fillId="0" borderId="0" xfId="54" applyFont="1">
      <alignment/>
      <protection/>
    </xf>
    <xf numFmtId="0" fontId="3" fillId="0" borderId="0" xfId="54" applyFont="1" applyFill="1" applyAlignment="1">
      <alignment horizontal="right"/>
      <protection/>
    </xf>
    <xf numFmtId="0" fontId="3" fillId="0" borderId="0" xfId="54" applyFont="1" applyAlignment="1">
      <alignment horizontal="right"/>
      <protection/>
    </xf>
    <xf numFmtId="2" fontId="5" fillId="0" borderId="0" xfId="54" applyNumberFormat="1" applyFont="1" applyFill="1" applyAlignment="1">
      <alignment horizontal="right" vertical="top" wrapText="1"/>
      <protection/>
    </xf>
    <xf numFmtId="2" fontId="5" fillId="0" borderId="0" xfId="54" applyNumberFormat="1" applyFont="1" applyAlignment="1">
      <alignment horizontal="right" vertical="top" wrapText="1"/>
      <protection/>
    </xf>
    <xf numFmtId="0" fontId="6" fillId="0" borderId="0" xfId="54" applyFont="1" applyFill="1">
      <alignment/>
      <protection/>
    </xf>
    <xf numFmtId="0" fontId="3" fillId="0" borderId="0" xfId="54" applyFont="1" applyFill="1">
      <alignment/>
      <protection/>
    </xf>
    <xf numFmtId="164" fontId="6" fillId="0" borderId="10" xfId="54" applyNumberFormat="1" applyFont="1" applyFill="1" applyBorder="1" applyAlignment="1">
      <alignment horizontal="center" vertical="center" wrapText="1"/>
      <protection/>
    </xf>
    <xf numFmtId="164" fontId="6" fillId="33" borderId="10" xfId="54" applyNumberFormat="1" applyFont="1" applyFill="1" applyBorder="1" applyAlignment="1">
      <alignment horizontal="center" vertical="center" wrapText="1"/>
      <protection/>
    </xf>
    <xf numFmtId="164" fontId="6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64" fontId="6" fillId="0" borderId="10" xfId="54" applyNumberFormat="1" applyFont="1" applyFill="1" applyBorder="1" applyAlignment="1">
      <alignment horizontal="right" wrapText="1"/>
      <protection/>
    </xf>
    <xf numFmtId="164" fontId="6" fillId="33" borderId="10" xfId="54" applyNumberFormat="1" applyFont="1" applyFill="1" applyBorder="1" applyAlignment="1">
      <alignment horizontal="right" wrapText="1"/>
      <protection/>
    </xf>
    <xf numFmtId="1" fontId="6" fillId="0" borderId="10" xfId="54" applyNumberFormat="1" applyFont="1" applyFill="1" applyBorder="1" applyAlignment="1">
      <alignment horizontal="right" wrapText="1"/>
      <protection/>
    </xf>
    <xf numFmtId="164" fontId="2" fillId="0" borderId="10" xfId="54" applyNumberFormat="1" applyFont="1" applyFill="1" applyBorder="1" applyAlignment="1">
      <alignment horizontal="right" wrapText="1"/>
      <protection/>
    </xf>
    <xf numFmtId="164" fontId="2" fillId="0" borderId="10" xfId="54" applyNumberFormat="1" applyFont="1" applyFill="1" applyBorder="1" applyAlignment="1">
      <alignment horizontal="center" vertical="center" wrapText="1"/>
      <protection/>
    </xf>
    <xf numFmtId="164" fontId="2" fillId="0" borderId="12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/>
      <protection/>
    </xf>
    <xf numFmtId="0" fontId="8" fillId="0" borderId="10" xfId="54" applyNumberFormat="1" applyFont="1" applyBorder="1" applyAlignment="1">
      <alignment horizontal="center" wrapText="1"/>
      <protection/>
    </xf>
    <xf numFmtId="164" fontId="2" fillId="0" borderId="10" xfId="54" applyNumberFormat="1" applyFont="1" applyBorder="1" applyAlignment="1">
      <alignment horizontal="right" wrapText="1"/>
      <protection/>
    </xf>
    <xf numFmtId="164" fontId="2" fillId="33" borderId="10" xfId="54" applyNumberFormat="1" applyFont="1" applyFill="1" applyBorder="1" applyAlignment="1">
      <alignment horizontal="right" wrapText="1"/>
      <protection/>
    </xf>
    <xf numFmtId="1" fontId="2" fillId="0" borderId="10" xfId="54" applyNumberFormat="1" applyFont="1" applyFill="1" applyBorder="1" applyAlignment="1">
      <alignment horizontal="right" wrapText="1"/>
      <protection/>
    </xf>
    <xf numFmtId="1" fontId="2" fillId="33" borderId="10" xfId="54" applyNumberFormat="1" applyFont="1" applyFill="1" applyBorder="1" applyAlignment="1">
      <alignment horizontal="right" wrapText="1"/>
      <protection/>
    </xf>
    <xf numFmtId="164" fontId="2" fillId="0" borderId="12" xfId="54" applyNumberFormat="1" applyFont="1" applyFill="1" applyBorder="1" applyAlignment="1">
      <alignment horizontal="right" wrapText="1"/>
      <protection/>
    </xf>
    <xf numFmtId="165" fontId="8" fillId="0" borderId="10" xfId="54" applyNumberFormat="1" applyFont="1" applyBorder="1" applyAlignment="1">
      <alignment horizontal="center"/>
      <protection/>
    </xf>
    <xf numFmtId="1" fontId="49" fillId="0" borderId="10" xfId="54" applyNumberFormat="1" applyFont="1" applyBorder="1" applyAlignment="1">
      <alignment horizontal="center"/>
      <protection/>
    </xf>
    <xf numFmtId="0" fontId="50" fillId="0" borderId="10" xfId="52" applyFont="1" applyBorder="1" applyAlignment="1">
      <alignment horizontal="left" vertical="center" wrapText="1"/>
      <protection/>
    </xf>
    <xf numFmtId="164" fontId="50" fillId="0" borderId="10" xfId="54" applyNumberFormat="1" applyFont="1" applyBorder="1" applyAlignment="1">
      <alignment horizontal="right" wrapText="1"/>
      <protection/>
    </xf>
    <xf numFmtId="164" fontId="50" fillId="0" borderId="10" xfId="54" applyNumberFormat="1" applyFont="1" applyFill="1" applyBorder="1" applyAlignment="1">
      <alignment horizontal="right" wrapText="1"/>
      <protection/>
    </xf>
    <xf numFmtId="1" fontId="50" fillId="0" borderId="10" xfId="54" applyNumberFormat="1" applyFont="1" applyFill="1" applyBorder="1" applyAlignment="1">
      <alignment horizontal="right" wrapText="1"/>
      <protection/>
    </xf>
    <xf numFmtId="1" fontId="50" fillId="33" borderId="10" xfId="54" applyNumberFormat="1" applyFont="1" applyFill="1" applyBorder="1" applyAlignment="1">
      <alignment horizontal="right" wrapText="1"/>
      <protection/>
    </xf>
    <xf numFmtId="164" fontId="50" fillId="33" borderId="10" xfId="54" applyNumberFormat="1" applyFont="1" applyFill="1" applyBorder="1" applyAlignment="1">
      <alignment horizontal="right" wrapText="1"/>
      <protection/>
    </xf>
    <xf numFmtId="164" fontId="51" fillId="0" borderId="10" xfId="54" applyNumberFormat="1" applyFont="1" applyFill="1" applyBorder="1" applyAlignment="1">
      <alignment horizontal="right" wrapText="1"/>
      <protection/>
    </xf>
    <xf numFmtId="1" fontId="13" fillId="0" borderId="10" xfId="54" applyNumberFormat="1" applyFont="1" applyFill="1" applyBorder="1" applyAlignment="1">
      <alignment horizontal="right" wrapText="1"/>
      <protection/>
    </xf>
    <xf numFmtId="164" fontId="13" fillId="0" borderId="10" xfId="54" applyNumberFormat="1" applyFont="1" applyFill="1" applyBorder="1" applyAlignment="1">
      <alignment horizontal="right" wrapText="1"/>
      <protection/>
    </xf>
    <xf numFmtId="164" fontId="52" fillId="0" borderId="10" xfId="54" applyNumberFormat="1" applyFont="1" applyBorder="1" applyAlignment="1">
      <alignment horizontal="right" wrapText="1"/>
      <protection/>
    </xf>
    <xf numFmtId="164" fontId="52" fillId="0" borderId="10" xfId="52" applyNumberFormat="1" applyFont="1" applyBorder="1" applyAlignment="1">
      <alignment horizontal="center" wrapText="1"/>
      <protection/>
    </xf>
    <xf numFmtId="0" fontId="52" fillId="0" borderId="0" xfId="54" applyFont="1">
      <alignment/>
      <protection/>
    </xf>
    <xf numFmtId="1" fontId="7" fillId="0" borderId="10" xfId="54" applyNumberFormat="1" applyFont="1" applyBorder="1" applyAlignment="1">
      <alignment horizontal="center"/>
      <protection/>
    </xf>
    <xf numFmtId="0" fontId="7" fillId="0" borderId="10" xfId="54" applyNumberFormat="1" applyFont="1" applyBorder="1" applyAlignment="1">
      <alignment horizontal="left" wrapText="1"/>
      <protection/>
    </xf>
    <xf numFmtId="164" fontId="50" fillId="0" borderId="10" xfId="52" applyNumberFormat="1" applyFont="1" applyBorder="1" applyAlignment="1">
      <alignment horizontal="right" wrapText="1"/>
      <protection/>
    </xf>
    <xf numFmtId="164" fontId="50" fillId="0" borderId="10" xfId="52" applyNumberFormat="1" applyFont="1" applyFill="1" applyBorder="1" applyAlignment="1">
      <alignment horizontal="right" wrapText="1"/>
      <protection/>
    </xf>
    <xf numFmtId="164" fontId="50" fillId="33" borderId="10" xfId="52" applyNumberFormat="1" applyFont="1" applyFill="1" applyBorder="1" applyAlignment="1">
      <alignment horizontal="right" wrapText="1"/>
      <protection/>
    </xf>
    <xf numFmtId="164" fontId="2" fillId="0" borderId="10" xfId="52" applyNumberFormat="1" applyFont="1" applyFill="1" applyBorder="1" applyAlignment="1">
      <alignment horizontal="right" wrapText="1"/>
      <protection/>
    </xf>
    <xf numFmtId="164" fontId="13" fillId="0" borderId="10" xfId="52" applyNumberFormat="1" applyFont="1" applyFill="1" applyBorder="1" applyAlignment="1">
      <alignment horizontal="right" wrapText="1"/>
      <protection/>
    </xf>
    <xf numFmtId="164" fontId="52" fillId="0" borderId="10" xfId="52" applyNumberFormat="1" applyFont="1" applyBorder="1" applyAlignment="1">
      <alignment horizontal="right" wrapText="1"/>
      <protection/>
    </xf>
    <xf numFmtId="164" fontId="51" fillId="0" borderId="10" xfId="52" applyNumberFormat="1" applyFont="1" applyFill="1" applyBorder="1" applyAlignment="1">
      <alignment horizontal="right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49" fillId="0" borderId="10" xfId="54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right" wrapText="1"/>
      <protection/>
    </xf>
    <xf numFmtId="164" fontId="2" fillId="33" borderId="10" xfId="52" applyNumberFormat="1" applyFont="1" applyFill="1" applyBorder="1" applyAlignment="1">
      <alignment horizontal="right" wrapText="1"/>
      <protection/>
    </xf>
    <xf numFmtId="0" fontId="8" fillId="0" borderId="10" xfId="54" applyFont="1" applyBorder="1" applyAlignment="1">
      <alignment horizontal="center"/>
      <protection/>
    </xf>
    <xf numFmtId="0" fontId="8" fillId="0" borderId="10" xfId="55" applyNumberFormat="1" applyFont="1" applyBorder="1" applyAlignment="1">
      <alignment horizontal="center" vertical="center" wrapText="1"/>
      <protection/>
    </xf>
    <xf numFmtId="164" fontId="2" fillId="0" borderId="10" xfId="55" applyNumberFormat="1" applyFont="1" applyBorder="1" applyAlignment="1">
      <alignment horizontal="right" wrapText="1"/>
      <protection/>
    </xf>
    <xf numFmtId="164" fontId="2" fillId="0" borderId="10" xfId="55" applyNumberFormat="1" applyFont="1" applyFill="1" applyBorder="1" applyAlignment="1">
      <alignment horizontal="right" wrapText="1"/>
      <protection/>
    </xf>
    <xf numFmtId="164" fontId="2" fillId="33" borderId="10" xfId="55" applyNumberFormat="1" applyFont="1" applyFill="1" applyBorder="1" applyAlignment="1">
      <alignment horizontal="right" wrapText="1"/>
      <protection/>
    </xf>
    <xf numFmtId="164" fontId="2" fillId="0" borderId="13" xfId="54" applyNumberFormat="1" applyFont="1" applyFill="1" applyBorder="1" applyAlignment="1">
      <alignment horizontal="right" wrapText="1"/>
      <protection/>
    </xf>
    <xf numFmtId="164" fontId="50" fillId="34" borderId="10" xfId="52" applyNumberFormat="1" applyFont="1" applyFill="1" applyBorder="1" applyAlignment="1">
      <alignment horizontal="right" wrapText="1"/>
      <protection/>
    </xf>
    <xf numFmtId="0" fontId="8" fillId="0" borderId="10" xfId="54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49" fillId="0" borderId="10" xfId="54" applyNumberFormat="1" applyFont="1" applyFill="1" applyBorder="1" applyAlignment="1">
      <alignment horizontal="center"/>
      <protection/>
    </xf>
    <xf numFmtId="0" fontId="50" fillId="0" borderId="10" xfId="52" applyFont="1" applyFill="1" applyBorder="1" applyAlignment="1">
      <alignment horizontal="left" vertical="center" wrapText="1"/>
      <protection/>
    </xf>
    <xf numFmtId="164" fontId="52" fillId="0" borderId="10" xfId="52" applyNumberFormat="1" applyFont="1" applyFill="1" applyBorder="1" applyAlignment="1">
      <alignment horizontal="right" wrapText="1"/>
      <protection/>
    </xf>
    <xf numFmtId="0" fontId="52" fillId="0" borderId="10" xfId="54" applyFont="1" applyFill="1" applyBorder="1" applyAlignment="1">
      <alignment horizontal="center" wrapText="1"/>
      <protection/>
    </xf>
    <xf numFmtId="0" fontId="52" fillId="0" borderId="0" xfId="54" applyFont="1" applyFill="1">
      <alignment/>
      <protection/>
    </xf>
    <xf numFmtId="1" fontId="49" fillId="0" borderId="10" xfId="54" applyNumberFormat="1" applyFont="1" applyFill="1" applyBorder="1" applyAlignment="1">
      <alignment horizontal="center"/>
      <protection/>
    </xf>
    <xf numFmtId="164" fontId="52" fillId="0" borderId="10" xfId="52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Border="1" applyAlignment="1">
      <alignment horizontal="right" wrapText="1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0" fontId="53" fillId="0" borderId="10" xfId="54" applyFont="1" applyFill="1" applyBorder="1" applyAlignment="1">
      <alignment horizontal="left" vertical="center" wrapText="1"/>
      <protection/>
    </xf>
    <xf numFmtId="0" fontId="52" fillId="0" borderId="10" xfId="54" applyFont="1" applyBorder="1" applyAlignment="1">
      <alignment horizontal="right" wrapText="1"/>
      <protection/>
    </xf>
    <xf numFmtId="164" fontId="7" fillId="0" borderId="10" xfId="54" applyNumberFormat="1" applyFont="1" applyFill="1" applyBorder="1" applyAlignment="1">
      <alignment horizontal="right" wrapText="1"/>
      <protection/>
    </xf>
    <xf numFmtId="164" fontId="7" fillId="33" borderId="10" xfId="54" applyNumberFormat="1" applyFont="1" applyFill="1" applyBorder="1" applyAlignment="1">
      <alignment horizontal="right" wrapText="1"/>
      <protection/>
    </xf>
    <xf numFmtId="164" fontId="6" fillId="0" borderId="10" xfId="54" applyNumberFormat="1" applyFont="1" applyBorder="1" applyAlignment="1">
      <alignment horizontal="right" wrapText="1"/>
      <protection/>
    </xf>
    <xf numFmtId="0" fontId="2" fillId="0" borderId="10" xfId="54" applyFont="1" applyFill="1" applyBorder="1" applyAlignment="1">
      <alignment horizontal="right" wrapText="1"/>
      <protection/>
    </xf>
    <xf numFmtId="164" fontId="49" fillId="0" borderId="10" xfId="54" applyNumberFormat="1" applyFont="1" applyFill="1" applyBorder="1" applyAlignment="1">
      <alignment horizontal="right" wrapText="1"/>
      <protection/>
    </xf>
    <xf numFmtId="164" fontId="49" fillId="33" borderId="10" xfId="54" applyNumberFormat="1" applyFont="1" applyFill="1" applyBorder="1" applyAlignment="1">
      <alignment horizontal="right" wrapText="1"/>
      <protection/>
    </xf>
    <xf numFmtId="164" fontId="16" fillId="0" borderId="10" xfId="54" applyNumberFormat="1" applyFont="1" applyFill="1" applyBorder="1" applyAlignment="1">
      <alignment horizontal="right" wrapText="1"/>
      <protection/>
    </xf>
    <xf numFmtId="0" fontId="50" fillId="0" borderId="1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right" wrapText="1"/>
      <protection/>
    </xf>
    <xf numFmtId="164" fontId="6" fillId="0" borderId="0" xfId="54" applyNumberFormat="1" applyFont="1" applyBorder="1" applyAlignment="1">
      <alignment horizontal="center" vertical="center" wrapText="1"/>
      <protection/>
    </xf>
    <xf numFmtId="164" fontId="6" fillId="0" borderId="0" xfId="54" applyNumberFormat="1" applyFont="1" applyFill="1" applyBorder="1" applyAlignment="1">
      <alignment horizontal="center" vertical="center" wrapText="1"/>
      <protection/>
    </xf>
    <xf numFmtId="164" fontId="6" fillId="33" borderId="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164" fontId="2" fillId="0" borderId="0" xfId="54" applyNumberFormat="1" applyFont="1">
      <alignment/>
      <protection/>
    </xf>
    <xf numFmtId="0" fontId="2" fillId="0" borderId="0" xfId="54" applyFont="1" applyBorder="1">
      <alignment/>
      <protection/>
    </xf>
    <xf numFmtId="0" fontId="2" fillId="0" borderId="0" xfId="54" applyFont="1" applyFill="1" applyBorder="1" applyAlignment="1">
      <alignment horizontal="left" vertical="center"/>
      <protection/>
    </xf>
    <xf numFmtId="164" fontId="2" fillId="33" borderId="0" xfId="54" applyNumberFormat="1" applyFont="1" applyFill="1" applyAlignment="1">
      <alignment horizontal="center" vertical="center"/>
      <protection/>
    </xf>
    <xf numFmtId="1" fontId="6" fillId="0" borderId="0" xfId="54" applyNumberFormat="1" applyFont="1" applyAlignment="1">
      <alignment horizontal="left" vertical="top"/>
      <protection/>
    </xf>
    <xf numFmtId="164" fontId="2" fillId="0" borderId="0" xfId="54" applyNumberFormat="1" applyFont="1" applyAlignment="1">
      <alignment horizontal="left" vertical="top" wrapText="1"/>
      <protection/>
    </xf>
    <xf numFmtId="164" fontId="2" fillId="0" borderId="0" xfId="54" applyNumberFormat="1" applyFont="1" applyFill="1" applyAlignment="1">
      <alignment vertical="top"/>
      <protection/>
    </xf>
    <xf numFmtId="164" fontId="2" fillId="33" borderId="0" xfId="54" applyNumberFormat="1" applyFont="1" applyFill="1" applyAlignment="1">
      <alignment vertical="top"/>
      <protection/>
    </xf>
    <xf numFmtId="164" fontId="2" fillId="0" borderId="0" xfId="54" applyNumberFormat="1" applyFont="1" applyBorder="1" applyAlignment="1">
      <alignment horizontal="left" vertical="top"/>
      <protection/>
    </xf>
    <xf numFmtId="164" fontId="2" fillId="0" borderId="0" xfId="54" applyNumberFormat="1" applyFont="1" applyFill="1" applyAlignment="1">
      <alignment vertical="top" wrapText="1"/>
      <protection/>
    </xf>
    <xf numFmtId="164" fontId="2" fillId="33" borderId="0" xfId="54" applyNumberFormat="1" applyFont="1" applyFill="1" applyAlignment="1">
      <alignment vertical="top" wrapText="1"/>
      <protection/>
    </xf>
    <xf numFmtId="164" fontId="2" fillId="0" borderId="0" xfId="54" applyNumberFormat="1" applyFont="1" applyFill="1" applyAlignment="1">
      <alignment horizontal="center" vertical="top" wrapText="1"/>
      <protection/>
    </xf>
    <xf numFmtId="164" fontId="2" fillId="33" borderId="0" xfId="54" applyNumberFormat="1" applyFont="1" applyFill="1" applyAlignment="1">
      <alignment horizontal="center" vertical="top" wrapText="1"/>
      <protection/>
    </xf>
    <xf numFmtId="164" fontId="2" fillId="0" borderId="0" xfId="54" applyNumberFormat="1" applyFont="1" applyFill="1" applyAlignment="1">
      <alignment horizontal="center" vertical="top"/>
      <protection/>
    </xf>
    <xf numFmtId="164" fontId="2" fillId="0" borderId="0" xfId="54" applyNumberFormat="1" applyFont="1" applyAlignment="1">
      <alignment horizontal="center" vertical="top"/>
      <protection/>
    </xf>
    <xf numFmtId="2" fontId="2" fillId="0" borderId="0" xfId="54" applyNumberFormat="1" applyFont="1" applyAlignment="1">
      <alignment horizontal="center" vertical="top"/>
      <protection/>
    </xf>
    <xf numFmtId="164" fontId="6" fillId="0" borderId="0" xfId="54" applyNumberFormat="1" applyFont="1">
      <alignment/>
      <protection/>
    </xf>
    <xf numFmtId="164" fontId="6" fillId="0" borderId="0" xfId="54" applyNumberFormat="1" applyFont="1" applyFill="1">
      <alignment/>
      <protection/>
    </xf>
    <xf numFmtId="164" fontId="6" fillId="33" borderId="0" xfId="54" applyNumberFormat="1" applyFont="1" applyFill="1">
      <alignment/>
      <protection/>
    </xf>
    <xf numFmtId="0" fontId="6" fillId="0" borderId="14" xfId="54" applyFont="1" applyBorder="1" applyAlignment="1">
      <alignment horizontal="center" vertical="center" wrapText="1"/>
      <protection/>
    </xf>
    <xf numFmtId="0" fontId="2" fillId="0" borderId="12" xfId="54" applyBorder="1">
      <alignment/>
      <protection/>
    </xf>
    <xf numFmtId="164" fontId="6" fillId="0" borderId="10" xfId="54" applyNumberFormat="1" applyFont="1" applyBorder="1" applyAlignment="1">
      <alignment horizontal="center" vertical="center" wrapText="1"/>
      <protection/>
    </xf>
    <xf numFmtId="16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U85"/>
  <sheetViews>
    <sheetView tabSelected="1" view="pageBreakPreview" zoomScale="75" zoomScaleSheetLayoutView="75" zoomScalePageLayoutView="0" workbookViewId="0" topLeftCell="A1">
      <selection activeCell="A79" sqref="A79:A94"/>
    </sheetView>
  </sheetViews>
  <sheetFormatPr defaultColWidth="10.28125" defaultRowHeight="15" outlineLevelRow="2"/>
  <cols>
    <col min="1" max="1" width="11.57421875" style="5" customWidth="1"/>
    <col min="2" max="2" width="42.57421875" style="5" bestFit="1" customWidth="1"/>
    <col min="3" max="3" width="16.7109375" style="93" customWidth="1"/>
    <col min="4" max="4" width="17.28125" style="93" customWidth="1"/>
    <col min="5" max="5" width="13.7109375" style="2" customWidth="1"/>
    <col min="6" max="6" width="12.140625" style="2" hidden="1" customWidth="1"/>
    <col min="7" max="7" width="12.140625" style="3" hidden="1" customWidth="1"/>
    <col min="8" max="8" width="11.28125" style="2" hidden="1" customWidth="1"/>
    <col min="9" max="10" width="11.140625" style="2" hidden="1" customWidth="1"/>
    <col min="11" max="12" width="11.140625" style="3" hidden="1" customWidth="1"/>
    <col min="13" max="13" width="11.28125" style="2" hidden="1" customWidth="1"/>
    <col min="14" max="15" width="12.28125" style="2" hidden="1" customWidth="1"/>
    <col min="16" max="17" width="12.28125" style="3" hidden="1" customWidth="1"/>
    <col min="18" max="18" width="11.57421875" style="2" hidden="1" customWidth="1"/>
    <col min="19" max="20" width="10.8515625" style="2" hidden="1" customWidth="1"/>
    <col min="21" max="22" width="12.421875" style="3" hidden="1" customWidth="1"/>
    <col min="23" max="23" width="11.7109375" style="2" hidden="1" customWidth="1"/>
    <col min="24" max="24" width="12.421875" style="2" hidden="1" customWidth="1"/>
    <col min="25" max="25" width="14.140625" style="4" hidden="1" customWidth="1"/>
    <col min="26" max="26" width="12.00390625" style="96" hidden="1" customWidth="1"/>
    <col min="27" max="28" width="11.28125" style="4" hidden="1" customWidth="1"/>
    <col min="29" max="30" width="11.28125" style="96" hidden="1" customWidth="1"/>
    <col min="31" max="31" width="22.28125" style="4" customWidth="1"/>
    <col min="32" max="32" width="12.28125" style="4" hidden="1" customWidth="1"/>
    <col min="33" max="33" width="29.7109375" style="4" hidden="1" customWidth="1"/>
    <col min="34" max="34" width="13.00390625" style="4" hidden="1" customWidth="1"/>
    <col min="35" max="36" width="11.28125" style="4" hidden="1" customWidth="1"/>
    <col min="37" max="38" width="11.8515625" style="4" hidden="1" customWidth="1"/>
    <col min="39" max="39" width="22.8515625" style="4" customWidth="1"/>
    <col min="40" max="40" width="12.57421875" style="4" hidden="1" customWidth="1"/>
    <col min="41" max="41" width="13.57421875" style="4" hidden="1" customWidth="1"/>
    <col min="42" max="42" width="15.28125" style="93" customWidth="1"/>
    <col min="43" max="43" width="17.00390625" style="93" customWidth="1"/>
    <col min="44" max="44" width="16.140625" style="5" customWidth="1"/>
    <col min="45" max="45" width="12.28125" style="5" hidden="1" customWidth="1"/>
    <col min="46" max="46" width="10.28125" style="5" hidden="1" customWidth="1"/>
    <col min="47" max="47" width="41.00390625" style="5" hidden="1" customWidth="1"/>
    <col min="48" max="16384" width="10.28125" style="5" customWidth="1"/>
  </cols>
  <sheetData>
    <row r="1" spans="1:43" ht="15.75">
      <c r="A1" s="1" t="s">
        <v>0</v>
      </c>
      <c r="B1" s="1"/>
      <c r="C1" s="2"/>
      <c r="D1" s="2"/>
      <c r="K1" s="2"/>
      <c r="L1" s="2"/>
      <c r="P1" s="2"/>
      <c r="Q1" s="2"/>
      <c r="R1" s="4"/>
      <c r="S1" s="4"/>
      <c r="T1" s="4"/>
      <c r="U1" s="4"/>
      <c r="V1" s="4"/>
      <c r="W1" s="4"/>
      <c r="X1" s="4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5"/>
      <c r="AQ1" s="5"/>
    </row>
    <row r="2" spans="1:43" ht="23.25">
      <c r="A2" s="1"/>
      <c r="B2" s="1"/>
      <c r="C2" s="2"/>
      <c r="D2" s="2"/>
      <c r="E2" s="2" t="s">
        <v>0</v>
      </c>
      <c r="K2" s="2"/>
      <c r="L2" s="2"/>
      <c r="P2" s="2"/>
      <c r="Q2" s="2"/>
      <c r="R2" s="4"/>
      <c r="S2" s="4"/>
      <c r="T2" s="4"/>
      <c r="U2" s="4"/>
      <c r="V2" s="4"/>
      <c r="W2" s="4"/>
      <c r="X2" s="4"/>
      <c r="Z2" s="2"/>
      <c r="AA2" s="2"/>
      <c r="AB2" s="1"/>
      <c r="AC2" s="1"/>
      <c r="AD2" s="1"/>
      <c r="AE2" s="1"/>
      <c r="AF2" s="1"/>
      <c r="AG2" s="6" t="s">
        <v>1</v>
      </c>
      <c r="AH2" s="1"/>
      <c r="AI2" s="1"/>
      <c r="AJ2" s="1"/>
      <c r="AK2" s="1"/>
      <c r="AL2" s="1"/>
      <c r="AM2" s="1"/>
      <c r="AN2" s="1"/>
      <c r="AO2" s="1"/>
      <c r="AP2" s="5"/>
      <c r="AQ2" s="5"/>
    </row>
    <row r="3" spans="1:43" ht="23.25">
      <c r="A3" s="1"/>
      <c r="B3" s="1"/>
      <c r="C3" s="2"/>
      <c r="D3" s="2"/>
      <c r="K3" s="2"/>
      <c r="L3" s="2"/>
      <c r="P3" s="2"/>
      <c r="Q3" s="2"/>
      <c r="R3" s="4"/>
      <c r="S3" s="4"/>
      <c r="T3" s="4"/>
      <c r="U3" s="4"/>
      <c r="V3" s="4"/>
      <c r="W3" s="4"/>
      <c r="X3" s="4"/>
      <c r="Z3" s="2"/>
      <c r="AA3" s="2"/>
      <c r="AB3" s="1"/>
      <c r="AC3" s="1"/>
      <c r="AD3" s="1"/>
      <c r="AE3" s="1"/>
      <c r="AF3" s="1"/>
      <c r="AG3" s="6" t="s">
        <v>2</v>
      </c>
      <c r="AH3" s="1"/>
      <c r="AI3" s="1"/>
      <c r="AJ3" s="1"/>
      <c r="AK3" s="1"/>
      <c r="AL3" s="1"/>
      <c r="AM3" s="1"/>
      <c r="AN3" s="1"/>
      <c r="AO3" s="1"/>
      <c r="AP3" s="5"/>
      <c r="AQ3" s="7" t="s">
        <v>3</v>
      </c>
    </row>
    <row r="4" spans="1:43" ht="23.25">
      <c r="A4" s="1"/>
      <c r="B4" s="1"/>
      <c r="C4" s="2"/>
      <c r="D4" s="2"/>
      <c r="K4" s="2"/>
      <c r="L4" s="2"/>
      <c r="P4" s="2"/>
      <c r="Q4" s="2"/>
      <c r="R4" s="4"/>
      <c r="S4" s="4"/>
      <c r="T4" s="4"/>
      <c r="U4" s="4"/>
      <c r="V4" s="4"/>
      <c r="W4" s="4"/>
      <c r="X4" s="4"/>
      <c r="Z4" s="2"/>
      <c r="AA4" s="2"/>
      <c r="AB4" s="1"/>
      <c r="AC4" s="1"/>
      <c r="AD4" s="1"/>
      <c r="AE4" s="1"/>
      <c r="AF4" s="1"/>
      <c r="AG4" s="6" t="s">
        <v>4</v>
      </c>
      <c r="AH4" s="1"/>
      <c r="AI4" s="1"/>
      <c r="AJ4" s="1"/>
      <c r="AK4" s="1"/>
      <c r="AL4" s="1"/>
      <c r="AM4" s="1"/>
      <c r="AN4" s="1"/>
      <c r="AO4" s="1"/>
      <c r="AP4" s="5"/>
      <c r="AQ4" s="7" t="s">
        <v>2</v>
      </c>
    </row>
    <row r="5" spans="1:43" ht="23.25">
      <c r="A5" s="1"/>
      <c r="B5" s="1"/>
      <c r="C5" s="2"/>
      <c r="D5" s="2"/>
      <c r="K5" s="2"/>
      <c r="L5" s="2"/>
      <c r="P5" s="2"/>
      <c r="Q5" s="2"/>
      <c r="R5" s="4"/>
      <c r="S5" s="4"/>
      <c r="T5" s="4"/>
      <c r="U5" s="4"/>
      <c r="V5" s="4"/>
      <c r="W5" s="4"/>
      <c r="X5" s="4"/>
      <c r="Z5" s="2"/>
      <c r="AA5" s="2"/>
      <c r="AB5" s="1"/>
      <c r="AC5" s="1"/>
      <c r="AD5" s="1"/>
      <c r="AE5" s="1"/>
      <c r="AF5" s="1"/>
      <c r="AG5" s="6"/>
      <c r="AH5" s="1"/>
      <c r="AI5" s="1"/>
      <c r="AJ5" s="1"/>
      <c r="AK5" s="1"/>
      <c r="AL5" s="1"/>
      <c r="AM5" s="1"/>
      <c r="AN5" s="1"/>
      <c r="AO5" s="1"/>
      <c r="AP5" s="5"/>
      <c r="AQ5" s="7" t="s">
        <v>4</v>
      </c>
    </row>
    <row r="6" spans="1:44" ht="75" customHeight="1">
      <c r="A6" s="117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3" ht="23.25">
      <c r="A7" s="1"/>
      <c r="B7" s="1"/>
      <c r="C7" s="2"/>
      <c r="D7" s="2"/>
      <c r="K7" s="2"/>
      <c r="L7" s="2"/>
      <c r="P7" s="2"/>
      <c r="Q7" s="2"/>
      <c r="R7" s="4"/>
      <c r="S7" s="4"/>
      <c r="T7" s="4"/>
      <c r="U7" s="4"/>
      <c r="V7" s="4"/>
      <c r="W7" s="4"/>
      <c r="X7" s="4"/>
      <c r="Z7" s="2"/>
      <c r="AA7" s="2"/>
      <c r="AB7" s="1"/>
      <c r="AC7" s="1"/>
      <c r="AD7" s="1"/>
      <c r="AE7" s="1"/>
      <c r="AF7" s="1"/>
      <c r="AG7" s="6" t="s">
        <v>6</v>
      </c>
      <c r="AH7" s="1"/>
      <c r="AI7" s="1"/>
      <c r="AJ7" s="1"/>
      <c r="AK7" s="1"/>
      <c r="AL7" s="1"/>
      <c r="AM7" s="1"/>
      <c r="AN7" s="1"/>
      <c r="AO7" s="1"/>
      <c r="AP7" s="5"/>
      <c r="AQ7" s="7" t="s">
        <v>6</v>
      </c>
    </row>
    <row r="8" spans="1:43" ht="23.25">
      <c r="A8" s="1"/>
      <c r="B8" s="1"/>
      <c r="C8" s="2"/>
      <c r="D8" s="2"/>
      <c r="K8" s="2"/>
      <c r="L8" s="2"/>
      <c r="P8" s="2"/>
      <c r="Q8" s="2"/>
      <c r="R8" s="4"/>
      <c r="S8" s="4"/>
      <c r="T8" s="4"/>
      <c r="U8" s="4"/>
      <c r="V8" s="4"/>
      <c r="W8" s="4"/>
      <c r="X8" s="4"/>
      <c r="Z8" s="2"/>
      <c r="AA8" s="2"/>
      <c r="AB8" s="1"/>
      <c r="AC8" s="1"/>
      <c r="AD8" s="1"/>
      <c r="AE8" s="1"/>
      <c r="AF8" s="1"/>
      <c r="AG8" s="6" t="s">
        <v>7</v>
      </c>
      <c r="AH8" s="1"/>
      <c r="AI8" s="1"/>
      <c r="AJ8" s="1"/>
      <c r="AK8" s="1"/>
      <c r="AL8" s="1"/>
      <c r="AM8" s="1"/>
      <c r="AN8" s="1"/>
      <c r="AO8" s="1"/>
      <c r="AP8" s="5"/>
      <c r="AQ8" s="7" t="s">
        <v>7</v>
      </c>
    </row>
    <row r="9" spans="1:43" ht="23.25">
      <c r="A9" s="1"/>
      <c r="B9" s="1"/>
      <c r="C9" s="2"/>
      <c r="D9" s="2"/>
      <c r="K9" s="2" t="s">
        <v>0</v>
      </c>
      <c r="L9" s="2"/>
      <c r="P9" s="2"/>
      <c r="Q9" s="2"/>
      <c r="R9" s="4"/>
      <c r="S9" s="4"/>
      <c r="T9" s="4"/>
      <c r="U9" s="4"/>
      <c r="V9" s="4"/>
      <c r="W9" s="4"/>
      <c r="X9" s="4" t="s">
        <v>0</v>
      </c>
      <c r="Z9" s="2"/>
      <c r="AA9" s="2"/>
      <c r="AB9" s="1"/>
      <c r="AC9" s="1"/>
      <c r="AD9" s="1"/>
      <c r="AE9" s="1"/>
      <c r="AF9" s="1"/>
      <c r="AG9" s="6" t="s">
        <v>8</v>
      </c>
      <c r="AH9" s="1"/>
      <c r="AI9" s="1"/>
      <c r="AJ9" s="1"/>
      <c r="AK9" s="1"/>
      <c r="AL9" s="1"/>
      <c r="AM9" s="1"/>
      <c r="AN9" s="1"/>
      <c r="AO9" s="1"/>
      <c r="AP9" s="5"/>
      <c r="AQ9" s="7" t="s">
        <v>8</v>
      </c>
    </row>
    <row r="10" spans="1:43" ht="23.25">
      <c r="A10" s="1"/>
      <c r="B10" s="1"/>
      <c r="C10" s="2"/>
      <c r="D10" s="2"/>
      <c r="K10" s="2"/>
      <c r="L10" s="2"/>
      <c r="M10" s="2" t="s">
        <v>0</v>
      </c>
      <c r="P10" s="2"/>
      <c r="Q10" s="2"/>
      <c r="R10" s="4"/>
      <c r="S10" s="4" t="s">
        <v>0</v>
      </c>
      <c r="T10" s="4"/>
      <c r="U10" s="4"/>
      <c r="V10" s="4"/>
      <c r="W10" s="4"/>
      <c r="X10" s="4"/>
      <c r="Z10" s="2"/>
      <c r="AA10" s="2"/>
      <c r="AB10" s="1"/>
      <c r="AC10" s="1"/>
      <c r="AD10" s="1"/>
      <c r="AE10" s="1"/>
      <c r="AF10" s="1"/>
      <c r="AG10" s="6"/>
      <c r="AH10" s="1"/>
      <c r="AI10" s="1"/>
      <c r="AJ10" s="1"/>
      <c r="AK10" s="1"/>
      <c r="AL10" s="1"/>
      <c r="AM10" s="1"/>
      <c r="AN10" s="1"/>
      <c r="AO10" s="1"/>
      <c r="AP10" s="5"/>
      <c r="AQ10" s="7"/>
    </row>
    <row r="11" spans="1:43" ht="23.25">
      <c r="A11" s="1"/>
      <c r="B11" s="1"/>
      <c r="C11" s="2"/>
      <c r="D11" s="2"/>
      <c r="K11" s="2" t="s">
        <v>0</v>
      </c>
      <c r="L11" s="2"/>
      <c r="P11" s="2"/>
      <c r="Q11" s="2"/>
      <c r="R11" s="4"/>
      <c r="S11" s="4"/>
      <c r="T11" s="4"/>
      <c r="U11" s="4"/>
      <c r="V11" s="4"/>
      <c r="W11" s="4"/>
      <c r="X11" s="4"/>
      <c r="Z11" s="2"/>
      <c r="AA11" s="2"/>
      <c r="AB11" s="1"/>
      <c r="AC11" s="1"/>
      <c r="AD11" s="1"/>
      <c r="AE11" s="1"/>
      <c r="AF11" s="1"/>
      <c r="AG11" s="6"/>
      <c r="AH11" s="1"/>
      <c r="AI11" s="1"/>
      <c r="AJ11" s="1"/>
      <c r="AK11" s="1"/>
      <c r="AL11" s="1"/>
      <c r="AM11" s="1"/>
      <c r="AN11" s="1"/>
      <c r="AO11" s="1"/>
      <c r="AP11" s="5"/>
      <c r="AQ11" s="7"/>
    </row>
    <row r="12" spans="1:43" ht="23.25">
      <c r="A12" s="1"/>
      <c r="B12" s="1"/>
      <c r="C12" s="2"/>
      <c r="D12" s="2"/>
      <c r="K12" s="2"/>
      <c r="L12" s="2"/>
      <c r="P12" s="2"/>
      <c r="Q12" s="2"/>
      <c r="R12" s="4"/>
      <c r="S12" s="4"/>
      <c r="T12" s="4"/>
      <c r="U12" s="4"/>
      <c r="V12" s="4"/>
      <c r="W12" s="4"/>
      <c r="X12" s="4"/>
      <c r="Z12" s="2"/>
      <c r="AA12" s="2"/>
      <c r="AB12" s="1"/>
      <c r="AC12" s="1"/>
      <c r="AD12" s="1"/>
      <c r="AE12" s="1"/>
      <c r="AF12" s="1"/>
      <c r="AG12" s="8" t="s">
        <v>9</v>
      </c>
      <c r="AH12" s="1"/>
      <c r="AI12" s="1"/>
      <c r="AJ12" s="1"/>
      <c r="AK12" s="1"/>
      <c r="AL12" s="1"/>
      <c r="AM12" s="1"/>
      <c r="AN12" s="1"/>
      <c r="AO12" s="1"/>
      <c r="AP12" s="5"/>
      <c r="AQ12" s="9" t="s">
        <v>9</v>
      </c>
    </row>
    <row r="13" spans="1:43" ht="23.25">
      <c r="A13" s="10"/>
      <c r="B13" s="1"/>
      <c r="C13" s="2"/>
      <c r="D13" s="2"/>
      <c r="K13" s="2"/>
      <c r="L13" s="2"/>
      <c r="P13" s="2"/>
      <c r="Q13" s="2"/>
      <c r="R13" s="4"/>
      <c r="S13" s="4"/>
      <c r="T13" s="4"/>
      <c r="U13" s="4"/>
      <c r="V13" s="4"/>
      <c r="W13" s="4"/>
      <c r="X13" s="4"/>
      <c r="Z13" s="2"/>
      <c r="AA13" s="2"/>
      <c r="AB13" s="1"/>
      <c r="AC13" s="1"/>
      <c r="AD13" s="1"/>
      <c r="AE13" s="1"/>
      <c r="AF13" s="1"/>
      <c r="AG13" s="6" t="s">
        <v>10</v>
      </c>
      <c r="AH13" s="1"/>
      <c r="AI13" s="1"/>
      <c r="AJ13" s="1"/>
      <c r="AK13" s="1"/>
      <c r="AL13" s="1"/>
      <c r="AM13" s="1"/>
      <c r="AN13" s="1"/>
      <c r="AO13" s="1"/>
      <c r="AP13" s="5"/>
      <c r="AQ13" s="7" t="s">
        <v>10</v>
      </c>
    </row>
    <row r="14" spans="1:43" ht="23.25" hidden="1">
      <c r="A14" s="10"/>
      <c r="B14" s="1"/>
      <c r="C14" s="2"/>
      <c r="D14" s="2"/>
      <c r="K14" s="2"/>
      <c r="L14" s="2"/>
      <c r="P14" s="2"/>
      <c r="Q14" s="2"/>
      <c r="R14" s="4"/>
      <c r="S14" s="4"/>
      <c r="T14" s="4"/>
      <c r="U14" s="4"/>
      <c r="V14" s="4"/>
      <c r="W14" s="4"/>
      <c r="X14" s="4"/>
      <c r="Z14" s="2"/>
      <c r="AA14" s="2" t="s">
        <v>11</v>
      </c>
      <c r="AB14" s="1"/>
      <c r="AC14" s="1"/>
      <c r="AD14" s="1"/>
      <c r="AE14" s="1"/>
      <c r="AF14" s="1"/>
      <c r="AG14" s="6" t="s">
        <v>12</v>
      </c>
      <c r="AH14" s="1"/>
      <c r="AI14" s="1"/>
      <c r="AJ14" s="1"/>
      <c r="AK14" s="1"/>
      <c r="AL14" s="1"/>
      <c r="AM14" s="1"/>
      <c r="AN14" s="1"/>
      <c r="AO14" s="1"/>
      <c r="AP14" s="5"/>
      <c r="AQ14" s="5"/>
    </row>
    <row r="15" spans="1:43" ht="23.25">
      <c r="A15" s="10"/>
      <c r="B15" s="1"/>
      <c r="C15" s="2"/>
      <c r="D15" s="2"/>
      <c r="K15" s="2"/>
      <c r="L15" s="2"/>
      <c r="P15" s="2"/>
      <c r="Q15" s="2"/>
      <c r="R15" s="4"/>
      <c r="S15" s="4"/>
      <c r="T15" s="4"/>
      <c r="U15" s="4"/>
      <c r="V15" s="4"/>
      <c r="W15" s="4"/>
      <c r="X15" s="4"/>
      <c r="Z15" s="2"/>
      <c r="AA15" s="2"/>
      <c r="AB15" s="1"/>
      <c r="AC15" s="1"/>
      <c r="AD15" s="1"/>
      <c r="AE15" s="1"/>
      <c r="AF15" s="1"/>
      <c r="AG15" s="6"/>
      <c r="AH15" s="1"/>
      <c r="AI15" s="1"/>
      <c r="AJ15" s="1"/>
      <c r="AK15" s="1"/>
      <c r="AL15" s="1"/>
      <c r="AM15" s="1"/>
      <c r="AN15" s="1"/>
      <c r="AO15" s="1"/>
      <c r="AP15" s="5"/>
      <c r="AQ15" s="5"/>
    </row>
    <row r="16" spans="1:43" ht="23.25">
      <c r="A16" s="10"/>
      <c r="B16" s="1"/>
      <c r="C16" s="2"/>
      <c r="D16" s="2"/>
      <c r="K16" s="2"/>
      <c r="L16" s="2"/>
      <c r="P16" s="2"/>
      <c r="Q16" s="2"/>
      <c r="R16" s="4"/>
      <c r="S16" s="4"/>
      <c r="T16" s="4"/>
      <c r="U16" s="4"/>
      <c r="V16" s="4"/>
      <c r="W16" s="4"/>
      <c r="X16" s="4"/>
      <c r="Z16" s="2"/>
      <c r="AA16" s="2"/>
      <c r="AB16" s="1"/>
      <c r="AC16" s="1"/>
      <c r="AD16" s="1"/>
      <c r="AE16" s="1"/>
      <c r="AF16" s="1"/>
      <c r="AG16" s="6"/>
      <c r="AH16" s="1"/>
      <c r="AI16" s="1"/>
      <c r="AJ16" s="1"/>
      <c r="AK16" s="1"/>
      <c r="AL16" s="1"/>
      <c r="AM16" s="1"/>
      <c r="AN16" s="1"/>
      <c r="AO16" s="1"/>
      <c r="AP16" s="5"/>
      <c r="AQ16" s="5"/>
    </row>
    <row r="17" spans="1:43" ht="24" thickBot="1">
      <c r="A17" s="1"/>
      <c r="B17" s="1"/>
      <c r="C17" s="2"/>
      <c r="D17" s="2"/>
      <c r="K17" s="2"/>
      <c r="L17" s="2"/>
      <c r="P17" s="2"/>
      <c r="Q17" s="2"/>
      <c r="R17" s="4"/>
      <c r="S17" s="4"/>
      <c r="T17" s="4"/>
      <c r="U17" s="4"/>
      <c r="V17" s="4"/>
      <c r="W17" s="4"/>
      <c r="X17" s="4"/>
      <c r="Z17" s="2"/>
      <c r="AA17" s="2"/>
      <c r="AB17" s="1"/>
      <c r="AC17" s="1"/>
      <c r="AD17" s="1"/>
      <c r="AE17" s="1"/>
      <c r="AF17" s="1"/>
      <c r="AG17" s="11"/>
      <c r="AH17" s="1"/>
      <c r="AI17" s="1"/>
      <c r="AJ17" s="1"/>
      <c r="AK17" s="1"/>
      <c r="AL17" s="1"/>
      <c r="AM17" s="1"/>
      <c r="AN17" s="1"/>
      <c r="AO17" s="1"/>
      <c r="AP17" s="5"/>
      <c r="AQ17" s="5"/>
    </row>
    <row r="18" spans="1:47" ht="126" customHeight="1">
      <c r="A18" s="118" t="s">
        <v>0</v>
      </c>
      <c r="B18" s="116" t="s">
        <v>0</v>
      </c>
      <c r="C18" s="114" t="s">
        <v>0</v>
      </c>
      <c r="D18" s="114" t="s">
        <v>13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 t="s">
        <v>14</v>
      </c>
      <c r="Z18" s="115"/>
      <c r="AA18" s="115"/>
      <c r="AB18" s="115"/>
      <c r="AC18" s="115"/>
      <c r="AD18" s="115"/>
      <c r="AE18" s="115"/>
      <c r="AF18" s="115"/>
      <c r="AG18" s="115"/>
      <c r="AH18" s="115"/>
      <c r="AI18" s="115" t="s">
        <v>15</v>
      </c>
      <c r="AJ18" s="115"/>
      <c r="AK18" s="115"/>
      <c r="AL18" s="115"/>
      <c r="AM18" s="115"/>
      <c r="AN18" s="115"/>
      <c r="AO18" s="115"/>
      <c r="AP18" s="114" t="s">
        <v>16</v>
      </c>
      <c r="AQ18" s="116" t="s">
        <v>17</v>
      </c>
      <c r="AR18" s="116"/>
      <c r="AS18" s="116"/>
      <c r="AT18" s="116"/>
      <c r="AU18" s="112" t="s">
        <v>18</v>
      </c>
    </row>
    <row r="19" spans="1:47" ht="31.5" customHeight="1">
      <c r="A19" s="119"/>
      <c r="B19" s="116"/>
      <c r="C19" s="114"/>
      <c r="D19" s="114" t="s">
        <v>19</v>
      </c>
      <c r="E19" s="114"/>
      <c r="F19" s="12"/>
      <c r="G19" s="13"/>
      <c r="H19" s="115" t="s">
        <v>20</v>
      </c>
      <c r="I19" s="115"/>
      <c r="J19" s="12"/>
      <c r="K19" s="13"/>
      <c r="L19" s="13"/>
      <c r="M19" s="115" t="s">
        <v>21</v>
      </c>
      <c r="N19" s="115"/>
      <c r="O19" s="12"/>
      <c r="P19" s="13"/>
      <c r="Q19" s="13"/>
      <c r="R19" s="115" t="s">
        <v>22</v>
      </c>
      <c r="S19" s="115"/>
      <c r="T19" s="12"/>
      <c r="U19" s="13"/>
      <c r="V19" s="13"/>
      <c r="W19" s="115" t="s">
        <v>23</v>
      </c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4"/>
      <c r="AQ19" s="114" t="s">
        <v>24</v>
      </c>
      <c r="AR19" s="116" t="s">
        <v>25</v>
      </c>
      <c r="AS19" s="116" t="s">
        <v>26</v>
      </c>
      <c r="AT19" s="116"/>
      <c r="AU19" s="113"/>
    </row>
    <row r="20" spans="1:47" ht="60" customHeight="1">
      <c r="A20" s="119"/>
      <c r="B20" s="116"/>
      <c r="C20" s="114"/>
      <c r="D20" s="14" t="s">
        <v>27</v>
      </c>
      <c r="E20" s="12" t="s">
        <v>28</v>
      </c>
      <c r="F20" s="12" t="s">
        <v>29</v>
      </c>
      <c r="G20" s="13" t="s">
        <v>30</v>
      </c>
      <c r="H20" s="12" t="s">
        <v>31</v>
      </c>
      <c r="I20" s="12" t="s">
        <v>32</v>
      </c>
      <c r="J20" s="12" t="s">
        <v>29</v>
      </c>
      <c r="K20" s="13" t="s">
        <v>33</v>
      </c>
      <c r="L20" s="13" t="s">
        <v>34</v>
      </c>
      <c r="M20" s="12" t="s">
        <v>31</v>
      </c>
      <c r="N20" s="12" t="s">
        <v>32</v>
      </c>
      <c r="O20" s="12" t="s">
        <v>29</v>
      </c>
      <c r="P20" s="13" t="s">
        <v>33</v>
      </c>
      <c r="Q20" s="13" t="s">
        <v>34</v>
      </c>
      <c r="R20" s="12" t="s">
        <v>31</v>
      </c>
      <c r="S20" s="12" t="s">
        <v>32</v>
      </c>
      <c r="T20" s="12" t="s">
        <v>29</v>
      </c>
      <c r="U20" s="13" t="s">
        <v>33</v>
      </c>
      <c r="V20" s="13" t="s">
        <v>34</v>
      </c>
      <c r="W20" s="12" t="s">
        <v>31</v>
      </c>
      <c r="X20" s="12" t="s">
        <v>32</v>
      </c>
      <c r="Y20" s="12" t="s">
        <v>35</v>
      </c>
      <c r="Z20" s="13" t="s">
        <v>36</v>
      </c>
      <c r="AA20" s="12" t="s">
        <v>20</v>
      </c>
      <c r="AB20" s="12" t="s">
        <v>21</v>
      </c>
      <c r="AC20" s="13" t="s">
        <v>33</v>
      </c>
      <c r="AD20" s="13" t="s">
        <v>34</v>
      </c>
      <c r="AE20" s="12" t="s">
        <v>35</v>
      </c>
      <c r="AF20" s="12" t="s">
        <v>22</v>
      </c>
      <c r="AG20" s="12" t="s">
        <v>29</v>
      </c>
      <c r="AH20" s="12" t="s">
        <v>23</v>
      </c>
      <c r="AI20" s="12" t="s">
        <v>35</v>
      </c>
      <c r="AJ20" s="12" t="s">
        <v>35</v>
      </c>
      <c r="AK20" s="12" t="s">
        <v>20</v>
      </c>
      <c r="AL20" s="12" t="s">
        <v>21</v>
      </c>
      <c r="AM20" s="12" t="s">
        <v>37</v>
      </c>
      <c r="AN20" s="12" t="s">
        <v>38</v>
      </c>
      <c r="AO20" s="12" t="s">
        <v>23</v>
      </c>
      <c r="AP20" s="114"/>
      <c r="AQ20" s="114"/>
      <c r="AR20" s="116"/>
      <c r="AS20" s="15" t="s">
        <v>39</v>
      </c>
      <c r="AT20" s="15" t="s">
        <v>40</v>
      </c>
      <c r="AU20" s="113"/>
    </row>
    <row r="21" spans="1:47" ht="15.75">
      <c r="A21" s="16"/>
      <c r="B21" s="17" t="s">
        <v>41</v>
      </c>
      <c r="C21" s="18">
        <f>C22+C34+0.001</f>
        <v>118.2522</v>
      </c>
      <c r="D21" s="18">
        <f>D22+D34+0.001</f>
        <v>118.2522</v>
      </c>
      <c r="E21" s="18">
        <f>I21+N21+S21+X21</f>
        <v>148.329655168</v>
      </c>
      <c r="F21" s="18">
        <f>E21/D21*100</f>
        <v>125.43500684807553</v>
      </c>
      <c r="G21" s="19">
        <f>K21+P21+U21+AC21</f>
        <v>87.58436864999999</v>
      </c>
      <c r="H21" s="18">
        <f>H22+H34</f>
        <v>8.4384</v>
      </c>
      <c r="I21" s="18">
        <f>I22+I34+I61</f>
        <v>25.65846488</v>
      </c>
      <c r="J21" s="20">
        <f>I21/H21*100</f>
        <v>304.0678905953735</v>
      </c>
      <c r="K21" s="19">
        <f>K22+K34+K61</f>
        <v>19.01677785</v>
      </c>
      <c r="L21" s="19">
        <f>L22+L34+L61</f>
        <v>6.641687030000001</v>
      </c>
      <c r="M21" s="18">
        <f>M22+M34</f>
        <v>10.708100000000002</v>
      </c>
      <c r="N21" s="18">
        <f>N22+N34+N61</f>
        <v>22.727680549999995</v>
      </c>
      <c r="O21" s="20">
        <f>N21/M21*100</f>
        <v>212.2475560556961</v>
      </c>
      <c r="P21" s="19">
        <f>P22+P34+P61</f>
        <v>5.24703</v>
      </c>
      <c r="Q21" s="19">
        <f>Q22+Q34+Q61</f>
        <v>17.480650549999996</v>
      </c>
      <c r="R21" s="18">
        <f>R22+R34-0.002</f>
        <v>29.594</v>
      </c>
      <c r="S21" s="18">
        <f>S22+S34+S61</f>
        <v>45.707208498</v>
      </c>
      <c r="T21" s="20">
        <f>S21/R21*100</f>
        <v>154.44755186186387</v>
      </c>
      <c r="U21" s="19">
        <f>U22+U34+U61</f>
        <v>22.7623248</v>
      </c>
      <c r="V21" s="19">
        <f>V22+V34+V61</f>
        <v>22.945058598000003</v>
      </c>
      <c r="W21" s="18">
        <f>D21-H21-M21-R21</f>
        <v>69.51169999999999</v>
      </c>
      <c r="X21" s="18">
        <f>X22+X34+X61</f>
        <v>54.23630124</v>
      </c>
      <c r="Y21" s="21" t="e">
        <f>AA21+AB21</f>
        <v>#REF!</v>
      </c>
      <c r="Z21" s="19">
        <f>Z22+Z34+Z61</f>
        <v>75.06919625</v>
      </c>
      <c r="AA21" s="18" t="e">
        <f>AA22+AA34+AA61</f>
        <v>#REF!</v>
      </c>
      <c r="AB21" s="18" t="e">
        <f>AB22+AB34+AB61</f>
        <v>#REF!</v>
      </c>
      <c r="AC21" s="19">
        <f>AC22+AC34+AC61</f>
        <v>40.558236</v>
      </c>
      <c r="AD21" s="19">
        <f>AD22+AD34+AD61</f>
        <v>13.678065239999999</v>
      </c>
      <c r="AE21" s="18">
        <f>Z21+AH21+0.001</f>
        <v>142.18400425000002</v>
      </c>
      <c r="AF21" s="18">
        <f>AF22+AF34</f>
        <v>33.42840129</v>
      </c>
      <c r="AG21" s="20">
        <f>Z21/D21*100</f>
        <v>63.48228299346651</v>
      </c>
      <c r="AH21" s="18">
        <f>AH22+AH34+AH61</f>
        <v>67.113808</v>
      </c>
      <c r="AI21" s="18">
        <v>52.267</v>
      </c>
      <c r="AJ21" s="18" t="e">
        <f>AK21+AL21</f>
        <v>#REF!</v>
      </c>
      <c r="AK21" s="18" t="e">
        <f>AK22+AK34+AK61</f>
        <v>#REF!</v>
      </c>
      <c r="AL21" s="18" t="e">
        <f>AL22+AL34+AL61</f>
        <v>#REF!</v>
      </c>
      <c r="AM21" s="18">
        <f>AI21+AO21</f>
        <v>143.731</v>
      </c>
      <c r="AN21" s="18">
        <f>AN22+AN34+AN61</f>
        <v>24.185778</v>
      </c>
      <c r="AO21" s="18">
        <f>AO22+AO34+AO61</f>
        <v>91.464</v>
      </c>
      <c r="AP21" s="18">
        <f>E21-D21</f>
        <v>30.077455167999986</v>
      </c>
      <c r="AQ21" s="18">
        <f>AP21</f>
        <v>30.077455167999986</v>
      </c>
      <c r="AR21" s="20">
        <f>100-(E21*100/D21)</f>
        <v>-25.435006848075545</v>
      </c>
      <c r="AS21" s="22"/>
      <c r="AT21" s="22"/>
      <c r="AU21" s="23"/>
    </row>
    <row r="22" spans="1:47" ht="40.5" customHeight="1">
      <c r="A22" s="24"/>
      <c r="B22" s="25" t="s">
        <v>42</v>
      </c>
      <c r="C22" s="26">
        <f>C23+C30+C32</f>
        <v>21.0394</v>
      </c>
      <c r="D22" s="26">
        <f>D23+D30+D32</f>
        <v>21.0394</v>
      </c>
      <c r="E22" s="21">
        <f aca="true" t="shared" si="0" ref="E22:E78">I22+N22+S22+X22</f>
        <v>19.16998596</v>
      </c>
      <c r="F22" s="21">
        <f aca="true" t="shared" si="1" ref="F22:F46">E22/D22*100</f>
        <v>91.11469889825756</v>
      </c>
      <c r="G22" s="27">
        <f aca="true" t="shared" si="2" ref="G22:G78">K22+P22+U22+AC22</f>
        <v>19.16998596</v>
      </c>
      <c r="H22" s="26"/>
      <c r="I22" s="21"/>
      <c r="J22" s="28"/>
      <c r="K22" s="29"/>
      <c r="L22" s="29"/>
      <c r="M22" s="21">
        <f>M23+M30+M32</f>
        <v>0.2833</v>
      </c>
      <c r="N22" s="21">
        <f>N23+N30</f>
        <v>0.17959999999999998</v>
      </c>
      <c r="O22" s="28">
        <f>N22/M22*100</f>
        <v>63.39569361101306</v>
      </c>
      <c r="P22" s="27">
        <f>SUM(P24:P33)</f>
        <v>0.17959999999999998</v>
      </c>
      <c r="Q22" s="27"/>
      <c r="R22" s="21">
        <f>R23+R30+R32</f>
        <v>20.756</v>
      </c>
      <c r="S22" s="21">
        <f>S23+S30+S32</f>
        <v>13.94038596</v>
      </c>
      <c r="T22" s="28">
        <f aca="true" t="shared" si="3" ref="T22:T44">S22/R22*100</f>
        <v>67.16316226633263</v>
      </c>
      <c r="U22" s="27">
        <f>SUM(U24:U33)</f>
        <v>13.94038596</v>
      </c>
      <c r="V22" s="27"/>
      <c r="W22" s="21"/>
      <c r="X22" s="21">
        <f>X23+X24+X26+X27+X28+X29</f>
        <v>5.05</v>
      </c>
      <c r="Y22" s="21" t="e">
        <f>AA22+AB22</f>
        <v>#REF!</v>
      </c>
      <c r="Z22" s="27">
        <f>Z24+Z26+Z27+Z28+Z29+Z31+Z33</f>
        <v>17.40157</v>
      </c>
      <c r="AA22" s="21"/>
      <c r="AB22" s="21" t="e">
        <f>AB23+AB30+AB32+AB24</f>
        <v>#REF!</v>
      </c>
      <c r="AC22" s="27">
        <f>SUM(AC24:AC33)</f>
        <v>5.05</v>
      </c>
      <c r="AD22" s="27"/>
      <c r="AE22" s="21">
        <f>Z22+AH22</f>
        <v>17.876798</v>
      </c>
      <c r="AF22" s="21">
        <f>AF23+AF30+AF32</f>
        <v>15.065399999999999</v>
      </c>
      <c r="AG22" s="28">
        <f aca="true" t="shared" si="4" ref="AG22:AG50">Z22/D22*100</f>
        <v>82.70944038328089</v>
      </c>
      <c r="AH22" s="21">
        <f>AH23+AH30+AH32</f>
        <v>0.475228</v>
      </c>
      <c r="AI22" s="21">
        <f>AI23+AI30+AI32</f>
        <v>6.642778</v>
      </c>
      <c r="AJ22" s="21"/>
      <c r="AK22" s="21"/>
      <c r="AL22" s="21"/>
      <c r="AM22" s="21">
        <f aca="true" t="shared" si="5" ref="AM22:AM78">AI22+AO22</f>
        <v>19.077778000000002</v>
      </c>
      <c r="AN22" s="21">
        <f>AN23+AN30+AN32</f>
        <v>6.642778</v>
      </c>
      <c r="AO22" s="21">
        <f>AO23+AO30+AO32</f>
        <v>12.435</v>
      </c>
      <c r="AP22" s="21">
        <f aca="true" t="shared" si="6" ref="AP22:AP78">E22-D22</f>
        <v>-1.8694140399999988</v>
      </c>
      <c r="AQ22" s="21">
        <f aca="true" t="shared" si="7" ref="AQ22:AQ78">AP22</f>
        <v>-1.8694140399999988</v>
      </c>
      <c r="AR22" s="28">
        <f aca="true" t="shared" si="8" ref="AR22:AR60">100-(E22*100/D22)</f>
        <v>8.885301101742442</v>
      </c>
      <c r="AS22" s="21"/>
      <c r="AT22" s="21"/>
      <c r="AU22" s="30"/>
    </row>
    <row r="23" spans="1:47" ht="37.5" customHeight="1" hidden="1">
      <c r="A23" s="31">
        <v>42005</v>
      </c>
      <c r="B23" s="25" t="s">
        <v>43</v>
      </c>
      <c r="C23" s="26">
        <f>SUM(C24:C29)</f>
        <v>17.962</v>
      </c>
      <c r="D23" s="26">
        <f>SUM(D24:D29)</f>
        <v>17.962</v>
      </c>
      <c r="E23" s="21">
        <f t="shared" si="0"/>
        <v>11.115636</v>
      </c>
      <c r="F23" s="21">
        <f t="shared" si="1"/>
        <v>61.88417770849571</v>
      </c>
      <c r="G23" s="27">
        <f t="shared" si="2"/>
        <v>0</v>
      </c>
      <c r="H23" s="26"/>
      <c r="I23" s="21"/>
      <c r="J23" s="28"/>
      <c r="K23" s="29"/>
      <c r="L23" s="29"/>
      <c r="M23" s="21">
        <f>SUM(M24:M29)</f>
        <v>0</v>
      </c>
      <c r="N23" s="21"/>
      <c r="O23" s="28"/>
      <c r="P23" s="29"/>
      <c r="Q23" s="29"/>
      <c r="R23" s="21">
        <f>SUM(R24:R29)</f>
        <v>17.962</v>
      </c>
      <c r="S23" s="21">
        <f>S24+S26+S27+S28+S29</f>
        <v>11.115636</v>
      </c>
      <c r="T23" s="28">
        <f t="shared" si="3"/>
        <v>61.88417770849571</v>
      </c>
      <c r="U23" s="29"/>
      <c r="V23" s="29"/>
      <c r="W23" s="21"/>
      <c r="X23" s="21"/>
      <c r="Y23" s="21"/>
      <c r="Z23" s="27">
        <f>Z24+Z26+Z27+Z28+Z29</f>
        <v>14.793600000000001</v>
      </c>
      <c r="AA23" s="21"/>
      <c r="AB23" s="21"/>
      <c r="AC23" s="27"/>
      <c r="AD23" s="27"/>
      <c r="AE23" s="21">
        <f>Z23+AH23</f>
        <v>15.268828000000001</v>
      </c>
      <c r="AF23" s="21">
        <f>AF24+AF26+AF27+AF28+AF29</f>
        <v>14.482999999999999</v>
      </c>
      <c r="AG23" s="28">
        <f t="shared" si="4"/>
        <v>82.36053891548826</v>
      </c>
      <c r="AH23" s="21">
        <f>SUM(AH24:AH29)</f>
        <v>0.475228</v>
      </c>
      <c r="AI23" s="21">
        <f>AI24+AI26+AI27+AI28+AI29</f>
        <v>2.833778</v>
      </c>
      <c r="AJ23" s="21"/>
      <c r="AK23" s="21"/>
      <c r="AL23" s="21"/>
      <c r="AM23" s="21">
        <f t="shared" si="5"/>
        <v>15.268778000000001</v>
      </c>
      <c r="AN23" s="21">
        <f>AN24+AN26+AN27+AN28+AN29</f>
        <v>2.833778</v>
      </c>
      <c r="AO23" s="21">
        <f>SUM(AO24:AO29)</f>
        <v>12.435</v>
      </c>
      <c r="AP23" s="21">
        <f t="shared" si="6"/>
        <v>-6.8463639999999995</v>
      </c>
      <c r="AQ23" s="21">
        <f t="shared" si="7"/>
        <v>-6.8463639999999995</v>
      </c>
      <c r="AR23" s="28">
        <f t="shared" si="8"/>
        <v>38.11582229150429</v>
      </c>
      <c r="AS23" s="21"/>
      <c r="AT23" s="21"/>
      <c r="AU23" s="30"/>
    </row>
    <row r="24" spans="1:47" s="44" customFormat="1" ht="41.25" customHeight="1">
      <c r="A24" s="32">
        <v>1</v>
      </c>
      <c r="B24" s="33" t="s">
        <v>44</v>
      </c>
      <c r="C24" s="34">
        <v>0.531</v>
      </c>
      <c r="D24" s="34">
        <v>0.531</v>
      </c>
      <c r="E24" s="21">
        <f t="shared" si="0"/>
        <v>0.378</v>
      </c>
      <c r="F24" s="35"/>
      <c r="G24" s="27">
        <f t="shared" si="2"/>
        <v>0.378</v>
      </c>
      <c r="H24" s="35"/>
      <c r="I24" s="35"/>
      <c r="J24" s="36"/>
      <c r="K24" s="37"/>
      <c r="L24" s="37"/>
      <c r="M24" s="35"/>
      <c r="N24" s="35"/>
      <c r="O24" s="36"/>
      <c r="P24" s="37"/>
      <c r="Q24" s="37"/>
      <c r="R24" s="35">
        <v>0.531</v>
      </c>
      <c r="S24" s="35">
        <v>0.378</v>
      </c>
      <c r="T24" s="36"/>
      <c r="U24" s="38">
        <f>S24</f>
        <v>0.378</v>
      </c>
      <c r="V24" s="38"/>
      <c r="W24" s="21"/>
      <c r="X24" s="39"/>
      <c r="Y24" s="35">
        <f>AA24+AB24</f>
        <v>0.32</v>
      </c>
      <c r="Z24" s="38">
        <v>0.31978</v>
      </c>
      <c r="AA24" s="35"/>
      <c r="AB24" s="35">
        <v>0.32</v>
      </c>
      <c r="AC24" s="38"/>
      <c r="AD24" s="38"/>
      <c r="AE24" s="21">
        <f>Z24+AH24</f>
        <v>0.31978</v>
      </c>
      <c r="AF24" s="21"/>
      <c r="AG24" s="40">
        <f t="shared" si="4"/>
        <v>60.22222222222222</v>
      </c>
      <c r="AH24" s="41"/>
      <c r="AI24" s="41">
        <f>AJ24+AN24</f>
        <v>0.319778</v>
      </c>
      <c r="AJ24" s="41"/>
      <c r="AK24" s="41"/>
      <c r="AL24" s="41"/>
      <c r="AM24" s="21">
        <f t="shared" si="5"/>
        <v>0.319778</v>
      </c>
      <c r="AN24" s="41">
        <v>0.319778</v>
      </c>
      <c r="AO24" s="41"/>
      <c r="AP24" s="21">
        <f t="shared" si="6"/>
        <v>-0.15300000000000002</v>
      </c>
      <c r="AQ24" s="21">
        <f t="shared" si="7"/>
        <v>-0.15300000000000002</v>
      </c>
      <c r="AR24" s="36">
        <f t="shared" si="8"/>
        <v>28.81355932203391</v>
      </c>
      <c r="AS24" s="42"/>
      <c r="AT24" s="42"/>
      <c r="AU24" s="43" t="s">
        <v>45</v>
      </c>
    </row>
    <row r="25" spans="1:47" ht="18.75" customHeight="1" hidden="1">
      <c r="A25" s="45"/>
      <c r="B25" s="46"/>
      <c r="C25" s="26"/>
      <c r="D25" s="26"/>
      <c r="E25" s="21">
        <f t="shared" si="0"/>
        <v>0</v>
      </c>
      <c r="F25" s="21"/>
      <c r="G25" s="27">
        <f t="shared" si="2"/>
        <v>0</v>
      </c>
      <c r="H25" s="21"/>
      <c r="I25" s="21"/>
      <c r="J25" s="28"/>
      <c r="K25" s="29"/>
      <c r="L25" s="29"/>
      <c r="M25" s="21"/>
      <c r="N25" s="21"/>
      <c r="O25" s="28"/>
      <c r="P25" s="29"/>
      <c r="Q25" s="29"/>
      <c r="R25" s="21"/>
      <c r="S25" s="21"/>
      <c r="T25" s="28"/>
      <c r="U25" s="27"/>
      <c r="V25" s="27"/>
      <c r="W25" s="21"/>
      <c r="X25" s="21"/>
      <c r="Y25" s="21">
        <f>AA25+AB25</f>
        <v>0</v>
      </c>
      <c r="Z25" s="27"/>
      <c r="AA25" s="21"/>
      <c r="AB25" s="21"/>
      <c r="AC25" s="27"/>
      <c r="AD25" s="27"/>
      <c r="AE25" s="21">
        <f>Z25+AH25</f>
        <v>0</v>
      </c>
      <c r="AF25" s="21"/>
      <c r="AG25" s="28" t="e">
        <f t="shared" si="4"/>
        <v>#DIV/0!</v>
      </c>
      <c r="AH25" s="21"/>
      <c r="AI25" s="21">
        <f>AJ25+AN25</f>
        <v>0</v>
      </c>
      <c r="AJ25" s="21"/>
      <c r="AK25" s="21"/>
      <c r="AL25" s="21"/>
      <c r="AM25" s="21">
        <f t="shared" si="5"/>
        <v>0</v>
      </c>
      <c r="AN25" s="21"/>
      <c r="AO25" s="21"/>
      <c r="AP25" s="21">
        <f t="shared" si="6"/>
        <v>0</v>
      </c>
      <c r="AQ25" s="21">
        <f t="shared" si="7"/>
        <v>0</v>
      </c>
      <c r="AR25" s="28" t="e">
        <f t="shared" si="8"/>
        <v>#DIV/0!</v>
      </c>
      <c r="AS25" s="21"/>
      <c r="AT25" s="21"/>
      <c r="AU25" s="30"/>
    </row>
    <row r="26" spans="1:47" s="44" customFormat="1" ht="45" customHeight="1">
      <c r="A26" s="32">
        <v>2</v>
      </c>
      <c r="B26" s="33" t="s">
        <v>46</v>
      </c>
      <c r="C26" s="47">
        <v>13.94</v>
      </c>
      <c r="D26" s="47">
        <v>13.94</v>
      </c>
      <c r="E26" s="21">
        <f t="shared" si="0"/>
        <v>12.391</v>
      </c>
      <c r="F26" s="35">
        <f t="shared" si="1"/>
        <v>88.8880918220947</v>
      </c>
      <c r="G26" s="27">
        <f t="shared" si="2"/>
        <v>12.391</v>
      </c>
      <c r="H26" s="48"/>
      <c r="I26" s="48"/>
      <c r="J26" s="36"/>
      <c r="K26" s="37"/>
      <c r="L26" s="37"/>
      <c r="M26" s="48"/>
      <c r="N26" s="48"/>
      <c r="O26" s="36"/>
      <c r="P26" s="37"/>
      <c r="Q26" s="37"/>
      <c r="R26" s="48">
        <v>13.94</v>
      </c>
      <c r="S26" s="48">
        <v>7.341</v>
      </c>
      <c r="T26" s="36">
        <f t="shared" si="3"/>
        <v>52.66140602582497</v>
      </c>
      <c r="U26" s="38">
        <f>S26</f>
        <v>7.341</v>
      </c>
      <c r="V26" s="38"/>
      <c r="W26" s="21"/>
      <c r="X26" s="48">
        <v>5.05</v>
      </c>
      <c r="Y26" s="35"/>
      <c r="Z26" s="38">
        <v>1.8373</v>
      </c>
      <c r="AA26" s="48"/>
      <c r="AB26" s="48"/>
      <c r="AC26" s="49">
        <f>X26</f>
        <v>5.05</v>
      </c>
      <c r="AD26" s="49"/>
      <c r="AE26" s="21">
        <v>11.94</v>
      </c>
      <c r="AF26" s="50">
        <v>11.94</v>
      </c>
      <c r="AG26" s="40">
        <f t="shared" si="4"/>
        <v>13.180057388809182</v>
      </c>
      <c r="AH26" s="41"/>
      <c r="AI26" s="41">
        <f>AJ26+AN26</f>
        <v>1.837</v>
      </c>
      <c r="AJ26" s="41"/>
      <c r="AK26" s="51"/>
      <c r="AL26" s="51"/>
      <c r="AM26" s="21">
        <v>11.939</v>
      </c>
      <c r="AN26" s="51">
        <v>1.837</v>
      </c>
      <c r="AO26" s="50">
        <v>11.939</v>
      </c>
      <c r="AP26" s="21">
        <f t="shared" si="6"/>
        <v>-1.5489999999999995</v>
      </c>
      <c r="AQ26" s="21">
        <f t="shared" si="7"/>
        <v>-1.5489999999999995</v>
      </c>
      <c r="AR26" s="36">
        <f t="shared" si="8"/>
        <v>11.111908177905306</v>
      </c>
      <c r="AS26" s="52"/>
      <c r="AT26" s="52"/>
      <c r="AU26" s="52"/>
    </row>
    <row r="27" spans="1:47" s="44" customFormat="1" ht="36.75" customHeight="1">
      <c r="A27" s="32">
        <v>3</v>
      </c>
      <c r="B27" s="33" t="s">
        <v>47</v>
      </c>
      <c r="C27" s="47">
        <v>2.168</v>
      </c>
      <c r="D27" s="47">
        <v>2.168</v>
      </c>
      <c r="E27" s="21">
        <f t="shared" si="0"/>
        <v>2.139</v>
      </c>
      <c r="F27" s="35">
        <f t="shared" si="1"/>
        <v>98.66236162361622</v>
      </c>
      <c r="G27" s="27">
        <f t="shared" si="2"/>
        <v>2.139</v>
      </c>
      <c r="H27" s="48"/>
      <c r="I27" s="48"/>
      <c r="J27" s="36"/>
      <c r="K27" s="37"/>
      <c r="L27" s="37"/>
      <c r="M27" s="48"/>
      <c r="N27" s="48"/>
      <c r="O27" s="36"/>
      <c r="P27" s="37"/>
      <c r="Q27" s="37"/>
      <c r="R27" s="48">
        <v>2.168</v>
      </c>
      <c r="S27" s="48">
        <v>2.139</v>
      </c>
      <c r="T27" s="36">
        <f t="shared" si="3"/>
        <v>98.66236162361622</v>
      </c>
      <c r="U27" s="38">
        <f>S27</f>
        <v>2.139</v>
      </c>
      <c r="V27" s="38"/>
      <c r="W27" s="21"/>
      <c r="X27" s="48"/>
      <c r="Y27" s="35"/>
      <c r="Z27" s="38">
        <v>11.93046</v>
      </c>
      <c r="AA27" s="48"/>
      <c r="AB27" s="48"/>
      <c r="AC27" s="49"/>
      <c r="AD27" s="49"/>
      <c r="AE27" s="21">
        <v>1.837</v>
      </c>
      <c r="AF27" s="50">
        <v>1.837</v>
      </c>
      <c r="AG27" s="40">
        <f t="shared" si="4"/>
        <v>550.2979704797048</v>
      </c>
      <c r="AH27" s="41"/>
      <c r="AI27" s="41"/>
      <c r="AJ27" s="41"/>
      <c r="AK27" s="51"/>
      <c r="AL27" s="51"/>
      <c r="AM27" s="21">
        <v>1.837</v>
      </c>
      <c r="AN27" s="51"/>
      <c r="AO27" s="50"/>
      <c r="AP27" s="21">
        <f t="shared" si="6"/>
        <v>-0.02900000000000036</v>
      </c>
      <c r="AQ27" s="21">
        <f t="shared" si="7"/>
        <v>-0.02900000000000036</v>
      </c>
      <c r="AR27" s="36">
        <f t="shared" si="8"/>
        <v>1.3376383763837794</v>
      </c>
      <c r="AS27" s="52"/>
      <c r="AT27" s="52"/>
      <c r="AU27" s="52"/>
    </row>
    <row r="28" spans="1:47" s="44" customFormat="1" ht="42.75" customHeight="1">
      <c r="A28" s="32">
        <v>4</v>
      </c>
      <c r="B28" s="33" t="s">
        <v>48</v>
      </c>
      <c r="C28" s="47">
        <v>0.783</v>
      </c>
      <c r="D28" s="47">
        <v>0.783</v>
      </c>
      <c r="E28" s="21">
        <f t="shared" si="0"/>
        <v>0.7436360000000001</v>
      </c>
      <c r="F28" s="35">
        <f t="shared" si="1"/>
        <v>94.9726692209451</v>
      </c>
      <c r="G28" s="27">
        <f t="shared" si="2"/>
        <v>0.7436360000000001</v>
      </c>
      <c r="H28" s="48"/>
      <c r="I28" s="48"/>
      <c r="J28" s="36"/>
      <c r="K28" s="37"/>
      <c r="L28" s="37"/>
      <c r="M28" s="48"/>
      <c r="N28" s="48"/>
      <c r="O28" s="36"/>
      <c r="P28" s="37"/>
      <c r="Q28" s="37"/>
      <c r="R28" s="48">
        <v>0.783</v>
      </c>
      <c r="S28" s="48">
        <f>0.2230908+0.5205452</f>
        <v>0.7436360000000001</v>
      </c>
      <c r="T28" s="36">
        <f t="shared" si="3"/>
        <v>94.9726692209451</v>
      </c>
      <c r="U28" s="38">
        <f>S28</f>
        <v>0.7436360000000001</v>
      </c>
      <c r="V28" s="38"/>
      <c r="W28" s="21"/>
      <c r="X28" s="53"/>
      <c r="Y28" s="35"/>
      <c r="Z28" s="38">
        <v>0.70606</v>
      </c>
      <c r="AA28" s="48"/>
      <c r="AB28" s="48"/>
      <c r="AC28" s="49"/>
      <c r="AD28" s="49"/>
      <c r="AE28" s="21">
        <f aca="true" t="shared" si="9" ref="AE28:AE50">Z28+AH28</f>
        <v>0.70606</v>
      </c>
      <c r="AF28" s="50">
        <v>0.706</v>
      </c>
      <c r="AG28" s="40">
        <f t="shared" si="4"/>
        <v>90.17369093231163</v>
      </c>
      <c r="AH28" s="41"/>
      <c r="AI28" s="41">
        <f>AJ28+AN28</f>
        <v>0.677</v>
      </c>
      <c r="AJ28" s="41"/>
      <c r="AK28" s="51"/>
      <c r="AL28" s="51"/>
      <c r="AM28" s="21">
        <f t="shared" si="5"/>
        <v>0.677</v>
      </c>
      <c r="AN28" s="51">
        <v>0.677</v>
      </c>
      <c r="AO28" s="51"/>
      <c r="AP28" s="21">
        <f t="shared" si="6"/>
        <v>-0.039363999999999955</v>
      </c>
      <c r="AQ28" s="21">
        <f t="shared" si="7"/>
        <v>-0.039363999999999955</v>
      </c>
      <c r="AR28" s="36">
        <f t="shared" si="8"/>
        <v>5.027330779054907</v>
      </c>
      <c r="AS28" s="52"/>
      <c r="AT28" s="52"/>
      <c r="AU28" s="52"/>
    </row>
    <row r="29" spans="1:47" s="44" customFormat="1" ht="68.25" customHeight="1">
      <c r="A29" s="32">
        <v>5</v>
      </c>
      <c r="B29" s="33" t="s">
        <v>49</v>
      </c>
      <c r="C29" s="47">
        <v>0.54</v>
      </c>
      <c r="D29" s="47">
        <v>0.54</v>
      </c>
      <c r="E29" s="21">
        <f t="shared" si="0"/>
        <v>0.514</v>
      </c>
      <c r="F29" s="35">
        <f t="shared" si="1"/>
        <v>95.18518518518519</v>
      </c>
      <c r="G29" s="27">
        <f t="shared" si="2"/>
        <v>0.514</v>
      </c>
      <c r="H29" s="48"/>
      <c r="I29" s="48"/>
      <c r="J29" s="36"/>
      <c r="K29" s="37"/>
      <c r="L29" s="37"/>
      <c r="M29" s="48"/>
      <c r="N29" s="48"/>
      <c r="O29" s="36"/>
      <c r="P29" s="37"/>
      <c r="Q29" s="37"/>
      <c r="R29" s="48">
        <v>0.54</v>
      </c>
      <c r="S29" s="48">
        <v>0.514</v>
      </c>
      <c r="T29" s="36">
        <f t="shared" si="3"/>
        <v>95.18518518518519</v>
      </c>
      <c r="U29" s="38">
        <f>S29</f>
        <v>0.514</v>
      </c>
      <c r="V29" s="38"/>
      <c r="W29" s="21"/>
      <c r="X29" s="53"/>
      <c r="Y29" s="35"/>
      <c r="Z29" s="38"/>
      <c r="AA29" s="48"/>
      <c r="AB29" s="48"/>
      <c r="AC29" s="49"/>
      <c r="AD29" s="49"/>
      <c r="AE29" s="21">
        <f t="shared" si="9"/>
        <v>0.475228</v>
      </c>
      <c r="AF29" s="50"/>
      <c r="AG29" s="40"/>
      <c r="AH29" s="21">
        <v>0.475228</v>
      </c>
      <c r="AI29" s="41"/>
      <c r="AJ29" s="41"/>
      <c r="AK29" s="51"/>
      <c r="AL29" s="51"/>
      <c r="AM29" s="21">
        <f t="shared" si="5"/>
        <v>0.496</v>
      </c>
      <c r="AN29" s="51"/>
      <c r="AO29" s="50">
        <v>0.496</v>
      </c>
      <c r="AP29" s="21">
        <f t="shared" si="6"/>
        <v>-0.026000000000000023</v>
      </c>
      <c r="AQ29" s="21">
        <f t="shared" si="7"/>
        <v>-0.026000000000000023</v>
      </c>
      <c r="AR29" s="36">
        <f t="shared" si="8"/>
        <v>4.814814814814824</v>
      </c>
      <c r="AS29" s="52"/>
      <c r="AT29" s="52"/>
      <c r="AU29" s="52"/>
    </row>
    <row r="30" spans="1:47" ht="36.75" customHeight="1" hidden="1">
      <c r="A30" s="31">
        <v>42036</v>
      </c>
      <c r="B30" s="25" t="s">
        <v>50</v>
      </c>
      <c r="C30" s="26">
        <f>C31</f>
        <v>0.6874</v>
      </c>
      <c r="D30" s="26">
        <f>D31</f>
        <v>0.6874</v>
      </c>
      <c r="E30" s="21">
        <f t="shared" si="0"/>
        <v>0.58660543</v>
      </c>
      <c r="F30" s="21">
        <f t="shared" si="1"/>
        <v>85.33683881291823</v>
      </c>
      <c r="G30" s="27">
        <f t="shared" si="2"/>
        <v>0</v>
      </c>
      <c r="H30" s="26"/>
      <c r="I30" s="21"/>
      <c r="J30" s="28"/>
      <c r="K30" s="29"/>
      <c r="L30" s="29"/>
      <c r="M30" s="21">
        <f>M31</f>
        <v>0.2833</v>
      </c>
      <c r="N30" s="21">
        <f>N31</f>
        <v>0.17959999999999998</v>
      </c>
      <c r="O30" s="28">
        <f>N30/M30*100</f>
        <v>63.39569361101306</v>
      </c>
      <c r="P30" s="29"/>
      <c r="Q30" s="29"/>
      <c r="R30" s="21">
        <f>R31</f>
        <v>0.404</v>
      </c>
      <c r="S30" s="21">
        <f>S31</f>
        <v>0.40700543</v>
      </c>
      <c r="T30" s="28">
        <f t="shared" si="3"/>
        <v>100.74391831683167</v>
      </c>
      <c r="U30" s="27"/>
      <c r="V30" s="27"/>
      <c r="W30" s="21"/>
      <c r="X30" s="21"/>
      <c r="Y30" s="21"/>
      <c r="Z30" s="27">
        <f>Z31</f>
        <v>0.5824</v>
      </c>
      <c r="AA30" s="21"/>
      <c r="AB30" s="21"/>
      <c r="AC30" s="27"/>
      <c r="AD30" s="27"/>
      <c r="AE30" s="21">
        <f t="shared" si="9"/>
        <v>0.5824</v>
      </c>
      <c r="AF30" s="21">
        <f>AF31</f>
        <v>0.5824</v>
      </c>
      <c r="AG30" s="28">
        <f t="shared" si="4"/>
        <v>84.72505091649694</v>
      </c>
      <c r="AH30" s="21">
        <f>AH31</f>
        <v>0</v>
      </c>
      <c r="AI30" s="21">
        <f>AJ30+AN30</f>
        <v>0.582</v>
      </c>
      <c r="AJ30" s="21"/>
      <c r="AK30" s="21"/>
      <c r="AL30" s="21"/>
      <c r="AM30" s="21">
        <f t="shared" si="5"/>
        <v>0.582</v>
      </c>
      <c r="AN30" s="21">
        <f>AN31</f>
        <v>0.582</v>
      </c>
      <c r="AO30" s="21"/>
      <c r="AP30" s="21">
        <f t="shared" si="6"/>
        <v>-0.10079457000000003</v>
      </c>
      <c r="AQ30" s="21">
        <f t="shared" si="7"/>
        <v>-0.10079457000000003</v>
      </c>
      <c r="AR30" s="28">
        <f t="shared" si="8"/>
        <v>14.66316118708177</v>
      </c>
      <c r="AS30" s="21"/>
      <c r="AT30" s="21"/>
      <c r="AU30" s="21"/>
    </row>
    <row r="31" spans="1:47" s="44" customFormat="1" ht="52.5" customHeight="1">
      <c r="A31" s="55">
        <v>6</v>
      </c>
      <c r="B31" s="33" t="s">
        <v>52</v>
      </c>
      <c r="C31" s="47">
        <v>0.6874</v>
      </c>
      <c r="D31" s="47">
        <v>0.6874</v>
      </c>
      <c r="E31" s="21">
        <f t="shared" si="0"/>
        <v>0.58660543</v>
      </c>
      <c r="F31" s="35">
        <f t="shared" si="1"/>
        <v>85.33683881291823</v>
      </c>
      <c r="G31" s="27">
        <f t="shared" si="2"/>
        <v>0.58660543</v>
      </c>
      <c r="H31" s="48"/>
      <c r="I31" s="48"/>
      <c r="J31" s="36"/>
      <c r="K31" s="37"/>
      <c r="L31" s="37"/>
      <c r="M31" s="48">
        <v>0.2833</v>
      </c>
      <c r="N31" s="48">
        <f>0.174+0.0056</f>
        <v>0.17959999999999998</v>
      </c>
      <c r="O31" s="36">
        <f>N31/M31*100</f>
        <v>63.39569361101306</v>
      </c>
      <c r="P31" s="38">
        <f>N31</f>
        <v>0.17959999999999998</v>
      </c>
      <c r="Q31" s="38"/>
      <c r="R31" s="48">
        <v>0.404</v>
      </c>
      <c r="S31" s="48">
        <v>0.40700543</v>
      </c>
      <c r="T31" s="36">
        <f t="shared" si="3"/>
        <v>100.74391831683167</v>
      </c>
      <c r="U31" s="38">
        <f>S31</f>
        <v>0.40700543</v>
      </c>
      <c r="V31" s="38"/>
      <c r="W31" s="21"/>
      <c r="X31" s="53"/>
      <c r="Y31" s="35"/>
      <c r="Z31" s="38">
        <v>0.5824</v>
      </c>
      <c r="AA31" s="48"/>
      <c r="AB31" s="48"/>
      <c r="AC31" s="49"/>
      <c r="AD31" s="49"/>
      <c r="AE31" s="21">
        <f t="shared" si="9"/>
        <v>0.5824</v>
      </c>
      <c r="AF31" s="50">
        <v>0.5824</v>
      </c>
      <c r="AG31" s="40">
        <f t="shared" si="4"/>
        <v>84.72505091649694</v>
      </c>
      <c r="AH31" s="41"/>
      <c r="AI31" s="41">
        <f>AJ31+AN31</f>
        <v>0.582</v>
      </c>
      <c r="AJ31" s="41"/>
      <c r="AK31" s="51"/>
      <c r="AL31" s="51"/>
      <c r="AM31" s="21">
        <f t="shared" si="5"/>
        <v>0.582</v>
      </c>
      <c r="AN31" s="51">
        <v>0.582</v>
      </c>
      <c r="AO31" s="51"/>
      <c r="AP31" s="21">
        <f t="shared" si="6"/>
        <v>-0.10079457000000003</v>
      </c>
      <c r="AQ31" s="21">
        <f t="shared" si="7"/>
        <v>-0.10079457000000003</v>
      </c>
      <c r="AR31" s="36">
        <f t="shared" si="8"/>
        <v>14.66316118708177</v>
      </c>
      <c r="AS31" s="52"/>
      <c r="AT31" s="52"/>
      <c r="AU31" s="52"/>
    </row>
    <row r="32" spans="1:47" ht="31.5" hidden="1">
      <c r="A32" s="31">
        <v>42064</v>
      </c>
      <c r="B32" s="56" t="s">
        <v>53</v>
      </c>
      <c r="C32" s="57">
        <f>SUM(C33:C33)</f>
        <v>2.39</v>
      </c>
      <c r="D32" s="57">
        <f>SUM(D33:D33)</f>
        <v>2.39</v>
      </c>
      <c r="E32" s="21">
        <f t="shared" si="0"/>
        <v>2.41774453</v>
      </c>
      <c r="F32" s="21">
        <f t="shared" si="1"/>
        <v>101.16085899581589</v>
      </c>
      <c r="G32" s="27">
        <f t="shared" si="2"/>
        <v>0</v>
      </c>
      <c r="H32" s="57"/>
      <c r="I32" s="50"/>
      <c r="J32" s="28"/>
      <c r="K32" s="29"/>
      <c r="L32" s="29"/>
      <c r="M32" s="50">
        <f>SUM(M33:M33)</f>
        <v>0</v>
      </c>
      <c r="N32" s="50"/>
      <c r="O32" s="28"/>
      <c r="P32" s="29"/>
      <c r="Q32" s="29"/>
      <c r="R32" s="50">
        <f>SUM(R33:R33)</f>
        <v>2.39</v>
      </c>
      <c r="S32" s="50">
        <f>S33</f>
        <v>2.41774453</v>
      </c>
      <c r="T32" s="28">
        <f t="shared" si="3"/>
        <v>101.16085899581589</v>
      </c>
      <c r="U32" s="27"/>
      <c r="V32" s="27"/>
      <c r="W32" s="21"/>
      <c r="X32" s="50"/>
      <c r="Y32" s="21" t="e">
        <f>AA32+AB32</f>
        <v>#REF!</v>
      </c>
      <c r="Z32" s="27">
        <f>Z33</f>
        <v>2.02557</v>
      </c>
      <c r="AA32" s="50"/>
      <c r="AB32" s="50" t="e">
        <f>#REF!+AB33</f>
        <v>#REF!</v>
      </c>
      <c r="AC32" s="58"/>
      <c r="AD32" s="58"/>
      <c r="AE32" s="21">
        <f t="shared" si="9"/>
        <v>2.02557</v>
      </c>
      <c r="AF32" s="50"/>
      <c r="AG32" s="28">
        <f t="shared" si="4"/>
        <v>84.75188284518829</v>
      </c>
      <c r="AH32" s="21">
        <f>AH33</f>
        <v>0</v>
      </c>
      <c r="AI32" s="21">
        <f>AI33</f>
        <v>3.227</v>
      </c>
      <c r="AJ32" s="21"/>
      <c r="AK32" s="50"/>
      <c r="AL32" s="50" t="e">
        <f>#REF!+AL33</f>
        <v>#REF!</v>
      </c>
      <c r="AM32" s="21">
        <f t="shared" si="5"/>
        <v>3.227</v>
      </c>
      <c r="AN32" s="50">
        <f>AN33</f>
        <v>3.227</v>
      </c>
      <c r="AO32" s="50"/>
      <c r="AP32" s="21">
        <f t="shared" si="6"/>
        <v>0.027744529999999656</v>
      </c>
      <c r="AQ32" s="21">
        <f t="shared" si="7"/>
        <v>0.027744529999999656</v>
      </c>
      <c r="AR32" s="28">
        <f t="shared" si="8"/>
        <v>-1.160858995815886</v>
      </c>
      <c r="AS32" s="57"/>
      <c r="AT32" s="57"/>
      <c r="AU32" s="57"/>
    </row>
    <row r="33" spans="1:47" s="44" customFormat="1" ht="31.5">
      <c r="A33" s="55">
        <v>7</v>
      </c>
      <c r="B33" s="33" t="s">
        <v>54</v>
      </c>
      <c r="C33" s="47">
        <v>2.39</v>
      </c>
      <c r="D33" s="47">
        <v>2.39</v>
      </c>
      <c r="E33" s="21">
        <f t="shared" si="0"/>
        <v>2.41774453</v>
      </c>
      <c r="F33" s="35">
        <f t="shared" si="1"/>
        <v>101.16085899581589</v>
      </c>
      <c r="G33" s="27">
        <f t="shared" si="2"/>
        <v>2.41774453</v>
      </c>
      <c r="H33" s="48"/>
      <c r="I33" s="48"/>
      <c r="J33" s="36"/>
      <c r="K33" s="37"/>
      <c r="L33" s="37"/>
      <c r="M33" s="48"/>
      <c r="N33" s="48"/>
      <c r="O33" s="36"/>
      <c r="P33" s="37"/>
      <c r="Q33" s="37"/>
      <c r="R33" s="48">
        <v>2.39</v>
      </c>
      <c r="S33" s="48">
        <v>2.41774453</v>
      </c>
      <c r="T33" s="36">
        <f t="shared" si="3"/>
        <v>101.16085899581589</v>
      </c>
      <c r="U33" s="38">
        <f>S33</f>
        <v>2.41774453</v>
      </c>
      <c r="V33" s="38"/>
      <c r="W33" s="21"/>
      <c r="X33" s="53"/>
      <c r="Y33" s="35">
        <f>AA33+AB33</f>
        <v>2.02557379</v>
      </c>
      <c r="Z33" s="38">
        <v>2.02557</v>
      </c>
      <c r="AA33" s="48"/>
      <c r="AB33" s="48">
        <v>2.02557379</v>
      </c>
      <c r="AC33" s="49"/>
      <c r="AD33" s="49"/>
      <c r="AE33" s="21">
        <f t="shared" si="9"/>
        <v>2.02557</v>
      </c>
      <c r="AF33" s="50"/>
      <c r="AG33" s="40">
        <f t="shared" si="4"/>
        <v>84.75188284518829</v>
      </c>
      <c r="AH33" s="41"/>
      <c r="AI33" s="41">
        <f>AJ33+AN33</f>
        <v>3.227</v>
      </c>
      <c r="AJ33" s="41"/>
      <c r="AK33" s="51"/>
      <c r="AL33" s="51"/>
      <c r="AM33" s="21">
        <f t="shared" si="5"/>
        <v>3.227</v>
      </c>
      <c r="AN33" s="51">
        <v>3.227</v>
      </c>
      <c r="AO33" s="51"/>
      <c r="AP33" s="21">
        <f t="shared" si="6"/>
        <v>0.027744529999999656</v>
      </c>
      <c r="AQ33" s="21">
        <f t="shared" si="7"/>
        <v>0.027744529999999656</v>
      </c>
      <c r="AR33" s="36"/>
      <c r="AS33" s="52"/>
      <c r="AT33" s="52"/>
      <c r="AU33" s="52"/>
    </row>
    <row r="34" spans="1:47" ht="38.25" customHeight="1">
      <c r="A34" s="59"/>
      <c r="B34" s="60" t="s">
        <v>55</v>
      </c>
      <c r="C34" s="61">
        <f>C35+C40+C43+C44+C56</f>
        <v>97.2118</v>
      </c>
      <c r="D34" s="61">
        <f>D35+D40+D43+D44+D56</f>
        <v>97.2118</v>
      </c>
      <c r="E34" s="21">
        <f t="shared" si="0"/>
        <v>82.40463625800001</v>
      </c>
      <c r="F34" s="21">
        <f t="shared" si="1"/>
        <v>84.76814158157757</v>
      </c>
      <c r="G34" s="27">
        <f t="shared" si="2"/>
        <v>39.73885484</v>
      </c>
      <c r="H34" s="61">
        <f>H35+H40+H43+H44+H56</f>
        <v>8.4384</v>
      </c>
      <c r="I34" s="62">
        <f>I41+I43+I42</f>
        <v>4.453687030000001</v>
      </c>
      <c r="J34" s="28">
        <f>I34/H34*100</f>
        <v>52.77880913443308</v>
      </c>
      <c r="K34" s="27">
        <f>K42</f>
        <v>0.635</v>
      </c>
      <c r="L34" s="27">
        <f>SUM(L36:L60)</f>
        <v>3.8186870300000013</v>
      </c>
      <c r="M34" s="62">
        <f>M35+M40+M43+M44+M56</f>
        <v>10.424800000000001</v>
      </c>
      <c r="N34" s="62">
        <f>N41+N43+N50</f>
        <v>15.028650549999996</v>
      </c>
      <c r="O34" s="28">
        <f>N34/M34*100</f>
        <v>144.16248321310715</v>
      </c>
      <c r="P34" s="29"/>
      <c r="Q34" s="27">
        <f>SUM(Q36:Q60)</f>
        <v>15.028650549999996</v>
      </c>
      <c r="R34" s="62">
        <f>R35+R40+R43+R44+R56</f>
        <v>8.84</v>
      </c>
      <c r="S34" s="62">
        <f>S36+S38+S39+S41+S43+S46+S47+S48</f>
        <v>23.922997438000003</v>
      </c>
      <c r="T34" s="28">
        <f t="shared" si="3"/>
        <v>270.6221429638009</v>
      </c>
      <c r="U34" s="27">
        <f>SUM(U36:U60)</f>
        <v>5.1539388399999995</v>
      </c>
      <c r="V34" s="27">
        <f>SUM(V36:V60)</f>
        <v>18.769058598</v>
      </c>
      <c r="W34" s="21">
        <f aca="true" t="shared" si="10" ref="W34:W60">D34-H34-M34-R34</f>
        <v>69.50859999999999</v>
      </c>
      <c r="X34" s="62">
        <f>X37+X38+X39+X41+X45+X48+X49+X47</f>
        <v>38.99930124</v>
      </c>
      <c r="Y34" s="21" t="e">
        <f>AA34+AB34</f>
        <v>#REF!</v>
      </c>
      <c r="Z34" s="27">
        <f>Z36+Z37+Z38+Z39+Z41+Z43+Z45+Z46+Z47+Z49+Z50+Z51+Z52+Z53+Z54+Z57+Z58+Z59+Z60</f>
        <v>45.30862625</v>
      </c>
      <c r="AA34" s="62" t="e">
        <f>AA35+AA40+AA43+AA44+AA56</f>
        <v>#REF!</v>
      </c>
      <c r="AB34" s="62" t="e">
        <f>AB35+AB40+AB43+AB44+AB56</f>
        <v>#REF!</v>
      </c>
      <c r="AC34" s="63">
        <f>SUM(AC36:AC60)</f>
        <v>33.949916</v>
      </c>
      <c r="AD34" s="63">
        <f>SUM(AD36:AD60)</f>
        <v>5.04938524</v>
      </c>
      <c r="AE34" s="21">
        <f t="shared" si="9"/>
        <v>104.83985025000001</v>
      </c>
      <c r="AF34" s="62">
        <f>AF35+AF40+AF43+AF44+Z56</f>
        <v>18.36300129</v>
      </c>
      <c r="AG34" s="28">
        <f t="shared" si="4"/>
        <v>46.608154822768434</v>
      </c>
      <c r="AH34" s="21">
        <f>AH36+AH37+AH38+AH39+AH41+AH42+AH43+AH45+AH46+AH47+AH48+AH49+AH50+AH51+AH52+AH53+AH54+AH55+AH57+AH58+AH60</f>
        <v>59.531224</v>
      </c>
      <c r="AI34" s="21">
        <f>AI35+AI40+AI43+AI44+AI56</f>
        <v>37.25152966</v>
      </c>
      <c r="AJ34" s="21" t="e">
        <f>AK34+AL34</f>
        <v>#REF!</v>
      </c>
      <c r="AK34" s="21" t="e">
        <f>AK35+AK40+AK43+AK44+AK56</f>
        <v>#REF!</v>
      </c>
      <c r="AL34" s="62" t="e">
        <f>AL35+AL40+AL43+AL44+AL56</f>
        <v>#REF!</v>
      </c>
      <c r="AM34" s="21">
        <f t="shared" si="5"/>
        <v>108.29752966</v>
      </c>
      <c r="AN34" s="62">
        <f>AN35+AN40+AN43+AN44+AN56</f>
        <v>11.187</v>
      </c>
      <c r="AO34" s="62">
        <f>AO35+AO40+AO43+AO44+AO56</f>
        <v>71.04599999999999</v>
      </c>
      <c r="AP34" s="21">
        <f t="shared" si="6"/>
        <v>-14.807163741999986</v>
      </c>
      <c r="AQ34" s="21">
        <f t="shared" si="7"/>
        <v>-14.807163741999986</v>
      </c>
      <c r="AR34" s="28">
        <f t="shared" si="8"/>
        <v>15.231858418422448</v>
      </c>
      <c r="AS34" s="21"/>
      <c r="AT34" s="21"/>
      <c r="AU34" s="21"/>
    </row>
    <row r="35" spans="1:47" ht="43.5" customHeight="1" hidden="1">
      <c r="A35" s="31">
        <v>42006</v>
      </c>
      <c r="B35" s="25" t="s">
        <v>43</v>
      </c>
      <c r="C35" s="61">
        <f>SUM(C36:C39)</f>
        <v>58.861999999999995</v>
      </c>
      <c r="D35" s="61">
        <f>SUM(D36:D39)</f>
        <v>58.861999999999995</v>
      </c>
      <c r="E35" s="21">
        <f t="shared" si="0"/>
        <v>33.652874999999995</v>
      </c>
      <c r="F35" s="21">
        <f t="shared" si="1"/>
        <v>57.172496687166586</v>
      </c>
      <c r="G35" s="27">
        <f t="shared" si="2"/>
        <v>0</v>
      </c>
      <c r="H35" s="61"/>
      <c r="I35" s="62"/>
      <c r="J35" s="28"/>
      <c r="K35" s="29"/>
      <c r="L35" s="29"/>
      <c r="M35" s="62">
        <f>SUM(M36:M39)</f>
        <v>3.6818</v>
      </c>
      <c r="N35" s="62">
        <f>N36+N37+N38+N39</f>
        <v>0</v>
      </c>
      <c r="O35" s="28">
        <f>N35/M35*100</f>
        <v>0</v>
      </c>
      <c r="P35" s="29"/>
      <c r="Q35" s="29"/>
      <c r="R35" s="62">
        <f>SUM(R36:R39)</f>
        <v>1.18</v>
      </c>
      <c r="S35" s="62">
        <f>S36+S37+S38+S39</f>
        <v>3.822875</v>
      </c>
      <c r="T35" s="28">
        <f t="shared" si="3"/>
        <v>323.9724576271187</v>
      </c>
      <c r="U35" s="27"/>
      <c r="V35" s="27"/>
      <c r="W35" s="21">
        <f t="shared" si="10"/>
        <v>54.00019999999999</v>
      </c>
      <c r="X35" s="62">
        <f>X36+X37+X38+X39</f>
        <v>29.83</v>
      </c>
      <c r="Y35" s="21">
        <f>AA35+AB35</f>
        <v>0.32580871</v>
      </c>
      <c r="Z35" s="27">
        <f>Z36+Z37+Z38+Z39</f>
        <v>5.228960000000001</v>
      </c>
      <c r="AA35" s="62">
        <f>SUM(AA36:AA39)</f>
        <v>0.32580871</v>
      </c>
      <c r="AB35" s="62">
        <f>SUM(AB36:AB39)</f>
        <v>0</v>
      </c>
      <c r="AC35" s="63"/>
      <c r="AD35" s="63"/>
      <c r="AE35" s="21">
        <f t="shared" si="9"/>
        <v>44.06478800000001</v>
      </c>
      <c r="AF35" s="62">
        <f>AF36+AF37+AF38+AF39</f>
        <v>3.29093129</v>
      </c>
      <c r="AG35" s="28">
        <f t="shared" si="4"/>
        <v>8.883422241853829</v>
      </c>
      <c r="AH35" s="21">
        <f>SUM(AH36:AH39)</f>
        <v>38.83582800000001</v>
      </c>
      <c r="AI35" s="21"/>
      <c r="AJ35" s="21"/>
      <c r="AK35" s="21"/>
      <c r="AL35" s="62">
        <f>SUM(AL36:AL39)</f>
        <v>0</v>
      </c>
      <c r="AM35" s="21">
        <f t="shared" si="5"/>
        <v>42.787</v>
      </c>
      <c r="AN35" s="62"/>
      <c r="AO35" s="62">
        <f>SUM(AO36:AO39)</f>
        <v>42.787</v>
      </c>
      <c r="AP35" s="21">
        <f t="shared" si="6"/>
        <v>-25.209125</v>
      </c>
      <c r="AQ35" s="21">
        <f t="shared" si="7"/>
        <v>-25.209125</v>
      </c>
      <c r="AR35" s="28">
        <f t="shared" si="8"/>
        <v>42.827503312833414</v>
      </c>
      <c r="AS35" s="21"/>
      <c r="AT35" s="21"/>
      <c r="AU35" s="64"/>
    </row>
    <row r="36" spans="1:47" s="44" customFormat="1" ht="36" customHeight="1">
      <c r="A36" s="55">
        <v>8</v>
      </c>
      <c r="B36" s="33" t="s">
        <v>56</v>
      </c>
      <c r="C36" s="47">
        <v>2.36</v>
      </c>
      <c r="D36" s="47">
        <v>2.36</v>
      </c>
      <c r="E36" s="21">
        <f t="shared" si="0"/>
        <v>0.638875</v>
      </c>
      <c r="F36" s="35">
        <f t="shared" si="1"/>
        <v>27.070974576271183</v>
      </c>
      <c r="G36" s="27">
        <f t="shared" si="2"/>
        <v>0.638875</v>
      </c>
      <c r="H36" s="48"/>
      <c r="I36" s="48"/>
      <c r="J36" s="36"/>
      <c r="K36" s="37"/>
      <c r="L36" s="37"/>
      <c r="M36" s="48">
        <v>0.59</v>
      </c>
      <c r="N36" s="65"/>
      <c r="O36" s="36">
        <f>N36/M36*100</f>
        <v>0</v>
      </c>
      <c r="P36" s="37"/>
      <c r="Q36" s="37"/>
      <c r="R36" s="48">
        <v>1.18</v>
      </c>
      <c r="S36" s="48">
        <v>0.638875</v>
      </c>
      <c r="T36" s="36"/>
      <c r="U36" s="38">
        <f>S36</f>
        <v>0.638875</v>
      </c>
      <c r="V36" s="38"/>
      <c r="W36" s="21">
        <f t="shared" si="10"/>
        <v>0.5900000000000001</v>
      </c>
      <c r="X36" s="48"/>
      <c r="Y36" s="35">
        <f>AA36+AB36</f>
        <v>0.32580871</v>
      </c>
      <c r="Z36" s="38">
        <v>0.51874</v>
      </c>
      <c r="AA36" s="48">
        <f>0.00567658+0.11475118+0.20538095</f>
        <v>0.32580871</v>
      </c>
      <c r="AB36" s="48"/>
      <c r="AC36" s="49"/>
      <c r="AD36" s="49"/>
      <c r="AE36" s="21">
        <f t="shared" si="9"/>
        <v>0.925214</v>
      </c>
      <c r="AF36" s="50">
        <f>Z36-Y36</f>
        <v>0.19293128999999998</v>
      </c>
      <c r="AG36" s="40">
        <f t="shared" si="4"/>
        <v>21.980508474576272</v>
      </c>
      <c r="AH36" s="21">
        <v>0.406474</v>
      </c>
      <c r="AI36" s="41"/>
      <c r="AJ36" s="41"/>
      <c r="AK36" s="51"/>
      <c r="AL36" s="51"/>
      <c r="AM36" s="21">
        <f t="shared" si="5"/>
        <v>0.9259999999999999</v>
      </c>
      <c r="AN36" s="51"/>
      <c r="AO36" s="50">
        <f>0.623+0.303</f>
        <v>0.9259999999999999</v>
      </c>
      <c r="AP36" s="21">
        <f t="shared" si="6"/>
        <v>-1.7211249999999998</v>
      </c>
      <c r="AQ36" s="21">
        <f t="shared" si="7"/>
        <v>-1.7211249999999998</v>
      </c>
      <c r="AR36" s="36">
        <f t="shared" si="8"/>
        <v>72.92902542372882</v>
      </c>
      <c r="AS36" s="52"/>
      <c r="AT36" s="52"/>
      <c r="AU36" s="43" t="s">
        <v>57</v>
      </c>
    </row>
    <row r="37" spans="1:47" s="44" customFormat="1" ht="31.5">
      <c r="A37" s="55">
        <v>9</v>
      </c>
      <c r="B37" s="33" t="s">
        <v>58</v>
      </c>
      <c r="C37" s="47">
        <v>42.632</v>
      </c>
      <c r="D37" s="47">
        <v>42.632</v>
      </c>
      <c r="E37" s="21">
        <f t="shared" si="0"/>
        <v>22.4</v>
      </c>
      <c r="F37" s="35">
        <f t="shared" si="1"/>
        <v>52.54269093638582</v>
      </c>
      <c r="G37" s="27">
        <f t="shared" si="2"/>
        <v>22.4</v>
      </c>
      <c r="H37" s="48"/>
      <c r="I37" s="48"/>
      <c r="J37" s="36"/>
      <c r="K37" s="37"/>
      <c r="L37" s="37"/>
      <c r="M37" s="48"/>
      <c r="N37" s="48"/>
      <c r="O37" s="36" t="e">
        <f>N37/M37*100</f>
        <v>#DIV/0!</v>
      </c>
      <c r="P37" s="37"/>
      <c r="Q37" s="37"/>
      <c r="R37" s="48"/>
      <c r="S37" s="48"/>
      <c r="T37" s="36"/>
      <c r="U37" s="38"/>
      <c r="V37" s="38"/>
      <c r="W37" s="21">
        <f t="shared" si="10"/>
        <v>42.632</v>
      </c>
      <c r="X37" s="48">
        <v>22.4</v>
      </c>
      <c r="Y37" s="35"/>
      <c r="Z37" s="38">
        <v>1.23922</v>
      </c>
      <c r="AA37" s="48"/>
      <c r="AB37" s="48"/>
      <c r="AC37" s="49">
        <f>X37</f>
        <v>22.4</v>
      </c>
      <c r="AD37" s="49"/>
      <c r="AE37" s="21">
        <f t="shared" si="9"/>
        <v>34.775302</v>
      </c>
      <c r="AF37" s="50">
        <v>1.239</v>
      </c>
      <c r="AG37" s="40">
        <f t="shared" si="4"/>
        <v>2.906783636704823</v>
      </c>
      <c r="AH37" s="21">
        <v>33.536082</v>
      </c>
      <c r="AI37" s="41"/>
      <c r="AJ37" s="41"/>
      <c r="AK37" s="51"/>
      <c r="AL37" s="51"/>
      <c r="AM37" s="21">
        <f>AO37</f>
        <v>33.536</v>
      </c>
      <c r="AN37" s="51"/>
      <c r="AO37" s="50">
        <v>33.536</v>
      </c>
      <c r="AP37" s="21">
        <f t="shared" si="6"/>
        <v>-20.232</v>
      </c>
      <c r="AQ37" s="21">
        <f t="shared" si="7"/>
        <v>-20.232</v>
      </c>
      <c r="AR37" s="36">
        <f t="shared" si="8"/>
        <v>47.45730906361418</v>
      </c>
      <c r="AS37" s="52"/>
      <c r="AT37" s="52"/>
      <c r="AU37" s="52"/>
    </row>
    <row r="38" spans="1:47" s="44" customFormat="1" ht="31.5">
      <c r="A38" s="55">
        <v>10</v>
      </c>
      <c r="B38" s="33" t="s">
        <v>59</v>
      </c>
      <c r="C38" s="47">
        <v>6.908</v>
      </c>
      <c r="D38" s="47">
        <v>6.908</v>
      </c>
      <c r="E38" s="21">
        <f t="shared" si="0"/>
        <v>4.467</v>
      </c>
      <c r="F38" s="35">
        <f t="shared" si="1"/>
        <v>64.6641574985524</v>
      </c>
      <c r="G38" s="27">
        <f t="shared" si="2"/>
        <v>4.467</v>
      </c>
      <c r="H38" s="48"/>
      <c r="I38" s="48"/>
      <c r="J38" s="36"/>
      <c r="K38" s="37"/>
      <c r="L38" s="37"/>
      <c r="M38" s="48">
        <v>0.7084</v>
      </c>
      <c r="N38" s="48"/>
      <c r="O38" s="36"/>
      <c r="P38" s="37"/>
      <c r="Q38" s="37"/>
      <c r="R38" s="48"/>
      <c r="S38" s="48">
        <v>1.34</v>
      </c>
      <c r="T38" s="36"/>
      <c r="U38" s="38">
        <f>S38</f>
        <v>1.34</v>
      </c>
      <c r="V38" s="38"/>
      <c r="W38" s="21">
        <f t="shared" si="10"/>
        <v>6.1996</v>
      </c>
      <c r="X38" s="48">
        <v>3.127</v>
      </c>
      <c r="Y38" s="35"/>
      <c r="Z38" s="38">
        <v>1.153</v>
      </c>
      <c r="AA38" s="48"/>
      <c r="AB38" s="48"/>
      <c r="AC38" s="49">
        <f>X38</f>
        <v>3.127</v>
      </c>
      <c r="AD38" s="49"/>
      <c r="AE38" s="21">
        <f t="shared" si="9"/>
        <v>4.745272</v>
      </c>
      <c r="AF38" s="50">
        <v>1.153</v>
      </c>
      <c r="AG38" s="40">
        <f t="shared" si="4"/>
        <v>16.690793283149972</v>
      </c>
      <c r="AH38" s="21">
        <v>3.592272</v>
      </c>
      <c r="AI38" s="41"/>
      <c r="AJ38" s="41"/>
      <c r="AK38" s="51"/>
      <c r="AL38" s="51"/>
      <c r="AM38" s="21">
        <f t="shared" si="5"/>
        <v>4.696</v>
      </c>
      <c r="AN38" s="51"/>
      <c r="AO38" s="50">
        <v>4.696</v>
      </c>
      <c r="AP38" s="21">
        <f t="shared" si="6"/>
        <v>-2.4410000000000007</v>
      </c>
      <c r="AQ38" s="21">
        <f t="shared" si="7"/>
        <v>-2.4410000000000007</v>
      </c>
      <c r="AR38" s="36">
        <f t="shared" si="8"/>
        <v>35.3358425014476</v>
      </c>
      <c r="AS38" s="52"/>
      <c r="AT38" s="52"/>
      <c r="AU38" s="52"/>
    </row>
    <row r="39" spans="1:47" s="44" customFormat="1" ht="31.5">
      <c r="A39" s="55">
        <v>11</v>
      </c>
      <c r="B39" s="33" t="s">
        <v>60</v>
      </c>
      <c r="C39" s="47">
        <v>6.962</v>
      </c>
      <c r="D39" s="47">
        <v>6.962</v>
      </c>
      <c r="E39" s="21">
        <f t="shared" si="0"/>
        <v>6.147</v>
      </c>
      <c r="F39" s="35"/>
      <c r="G39" s="27">
        <f t="shared" si="2"/>
        <v>6.147</v>
      </c>
      <c r="H39" s="48"/>
      <c r="I39" s="48"/>
      <c r="J39" s="36"/>
      <c r="K39" s="37"/>
      <c r="L39" s="37"/>
      <c r="M39" s="48">
        <v>2.3834</v>
      </c>
      <c r="N39" s="48"/>
      <c r="O39" s="36"/>
      <c r="P39" s="37"/>
      <c r="Q39" s="37"/>
      <c r="R39" s="48"/>
      <c r="S39" s="48">
        <v>1.844</v>
      </c>
      <c r="T39" s="36"/>
      <c r="U39" s="38">
        <f>S39</f>
        <v>1.844</v>
      </c>
      <c r="V39" s="38"/>
      <c r="W39" s="21">
        <f t="shared" si="10"/>
        <v>4.5786</v>
      </c>
      <c r="X39" s="48">
        <v>4.303</v>
      </c>
      <c r="Y39" s="35"/>
      <c r="Z39" s="38">
        <v>2.318</v>
      </c>
      <c r="AA39" s="48"/>
      <c r="AB39" s="48"/>
      <c r="AC39" s="49">
        <f>X39</f>
        <v>4.303</v>
      </c>
      <c r="AD39" s="49"/>
      <c r="AE39" s="21">
        <f t="shared" si="9"/>
        <v>3.6189999999999998</v>
      </c>
      <c r="AF39" s="50">
        <v>0.706</v>
      </c>
      <c r="AG39" s="40">
        <f t="shared" si="4"/>
        <v>33.295030163746056</v>
      </c>
      <c r="AH39" s="21">
        <v>1.301</v>
      </c>
      <c r="AI39" s="41"/>
      <c r="AJ39" s="41"/>
      <c r="AK39" s="51"/>
      <c r="AL39" s="51"/>
      <c r="AM39" s="21">
        <f t="shared" si="5"/>
        <v>3.629</v>
      </c>
      <c r="AN39" s="51"/>
      <c r="AO39" s="50">
        <v>3.629</v>
      </c>
      <c r="AP39" s="21">
        <f t="shared" si="6"/>
        <v>-0.8149999999999995</v>
      </c>
      <c r="AQ39" s="21">
        <f t="shared" si="7"/>
        <v>-0.8149999999999995</v>
      </c>
      <c r="AR39" s="36">
        <f t="shared" si="8"/>
        <v>11.706406205113467</v>
      </c>
      <c r="AS39" s="52"/>
      <c r="AT39" s="52"/>
      <c r="AU39" s="52"/>
    </row>
    <row r="40" spans="1:47" ht="29.25" customHeight="1" hidden="1">
      <c r="A40" s="66">
        <v>42037</v>
      </c>
      <c r="B40" s="67" t="s">
        <v>61</v>
      </c>
      <c r="C40" s="57">
        <f>SUM(C41:C42)</f>
        <v>27.645</v>
      </c>
      <c r="D40" s="57">
        <f>SUM(D41:D42)</f>
        <v>27.645</v>
      </c>
      <c r="E40" s="21">
        <f t="shared" si="0"/>
        <v>38.959266617999994</v>
      </c>
      <c r="F40" s="21">
        <f t="shared" si="1"/>
        <v>140.92699084102006</v>
      </c>
      <c r="G40" s="27">
        <f t="shared" si="2"/>
        <v>0</v>
      </c>
      <c r="H40" s="57">
        <f>SUM(H41:H41)</f>
        <v>6.74</v>
      </c>
      <c r="I40" s="50">
        <f>SUM(I41:I41)</f>
        <v>1.8654</v>
      </c>
      <c r="J40" s="28">
        <f>I40/H40*100</f>
        <v>27.676557863501483</v>
      </c>
      <c r="K40" s="29"/>
      <c r="L40" s="29"/>
      <c r="M40" s="50">
        <f>SUM(M41:M41)</f>
        <v>6.74</v>
      </c>
      <c r="N40" s="50">
        <f>SUM(N41:N41)</f>
        <v>13.403339779999996</v>
      </c>
      <c r="O40" s="28">
        <f>N40/M40*100</f>
        <v>198.86260801186936</v>
      </c>
      <c r="P40" s="29"/>
      <c r="Q40" s="29"/>
      <c r="R40" s="50">
        <f>SUM(R41:R41)</f>
        <v>6.74</v>
      </c>
      <c r="S40" s="50">
        <f>SUM(S41:S41)</f>
        <v>18.641141598</v>
      </c>
      <c r="T40" s="28">
        <f t="shared" si="3"/>
        <v>276.57480115727003</v>
      </c>
      <c r="U40" s="27"/>
      <c r="V40" s="27"/>
      <c r="W40" s="21">
        <f t="shared" si="10"/>
        <v>7.425000000000001</v>
      </c>
      <c r="X40" s="50">
        <f>SUM(X41:X41)</f>
        <v>5.04938524</v>
      </c>
      <c r="Y40" s="21" t="e">
        <f>AA40+AB40</f>
        <v>#REF!</v>
      </c>
      <c r="Z40" s="27">
        <f>Z41+Z42</f>
        <v>32.18057</v>
      </c>
      <c r="AA40" s="50" t="e">
        <f>AA41+#REF!</f>
        <v>#REF!</v>
      </c>
      <c r="AB40" s="50" t="e">
        <f>AB41+#REF!</f>
        <v>#REF!</v>
      </c>
      <c r="AC40" s="58"/>
      <c r="AD40" s="58"/>
      <c r="AE40" s="21">
        <f t="shared" si="9"/>
        <v>32.18057</v>
      </c>
      <c r="AF40" s="50">
        <f>AF41+AF42</f>
        <v>11.684070000000002</v>
      </c>
      <c r="AG40" s="28">
        <f t="shared" si="4"/>
        <v>116.40647495026226</v>
      </c>
      <c r="AH40" s="21"/>
      <c r="AI40" s="21">
        <f>AI41+AI42</f>
        <v>28.4258</v>
      </c>
      <c r="AJ40" s="21" t="e">
        <f>AK40+AL40</f>
        <v>#REF!</v>
      </c>
      <c r="AK40" s="50" t="e">
        <f>AK41+#REF!</f>
        <v>#REF!</v>
      </c>
      <c r="AL40" s="50" t="e">
        <f>AL41+#REF!</f>
        <v>#REF!</v>
      </c>
      <c r="AM40" s="21">
        <f t="shared" si="5"/>
        <v>52.4918</v>
      </c>
      <c r="AN40" s="50">
        <f>AN41+AN42</f>
        <v>9.29</v>
      </c>
      <c r="AO40" s="50">
        <f>AO41+AO42</f>
        <v>24.066</v>
      </c>
      <c r="AP40" s="21">
        <f t="shared" si="6"/>
        <v>11.314266617999994</v>
      </c>
      <c r="AQ40" s="21">
        <f t="shared" si="7"/>
        <v>11.314266617999994</v>
      </c>
      <c r="AR40" s="28">
        <f t="shared" si="8"/>
        <v>-40.92699084102006</v>
      </c>
      <c r="AS40" s="57"/>
      <c r="AT40" s="57"/>
      <c r="AU40" s="57"/>
    </row>
    <row r="41" spans="1:47" s="72" customFormat="1" ht="76.5" customHeight="1">
      <c r="A41" s="68">
        <v>12</v>
      </c>
      <c r="B41" s="69" t="s">
        <v>62</v>
      </c>
      <c r="C41" s="48">
        <v>26.959</v>
      </c>
      <c r="D41" s="48">
        <v>26.959</v>
      </c>
      <c r="E41" s="21">
        <f t="shared" si="0"/>
        <v>38.959266617999994</v>
      </c>
      <c r="F41" s="35">
        <f t="shared" si="1"/>
        <v>144.5130257724693</v>
      </c>
      <c r="G41" s="27"/>
      <c r="H41" s="48">
        <v>6.74</v>
      </c>
      <c r="I41" s="48">
        <f>0.0264+0.79+0.749+0.3</f>
        <v>1.8654</v>
      </c>
      <c r="J41" s="36">
        <f>I41/H41*100</f>
        <v>27.676557863501483</v>
      </c>
      <c r="K41" s="36"/>
      <c r="L41" s="35">
        <f>I41</f>
        <v>1.8654</v>
      </c>
      <c r="M41" s="48">
        <v>6.74</v>
      </c>
      <c r="N41" s="48">
        <f>4.049+4.337+0.0025+0.0362259+2.2662555+0.13358399+2.05266836+0.1914898+0.2+0.039202+0.09541423</f>
        <v>13.403339779999996</v>
      </c>
      <c r="O41" s="36">
        <f>N41/M41*100</f>
        <v>198.86260801186936</v>
      </c>
      <c r="P41" s="36"/>
      <c r="Q41" s="35">
        <f>N41</f>
        <v>13.403339779999996</v>
      </c>
      <c r="R41" s="48">
        <v>6.74</v>
      </c>
      <c r="S41" s="48">
        <f>13.048867+1.375961808+0.02344091+0.12779461+2.5+1.0514032+0.3827+0.13097407</f>
        <v>18.641141598</v>
      </c>
      <c r="T41" s="36">
        <f t="shared" si="3"/>
        <v>276.57480115727003</v>
      </c>
      <c r="U41" s="35"/>
      <c r="V41" s="35">
        <f>S41</f>
        <v>18.641141598</v>
      </c>
      <c r="W41" s="21">
        <f t="shared" si="10"/>
        <v>6.739000000000001</v>
      </c>
      <c r="X41" s="48">
        <f>1.815+1.7402736+0.10291344+0.5873982+0.7038+0.1</f>
        <v>5.04938524</v>
      </c>
      <c r="Y41" s="35">
        <f>AA41+AB41</f>
        <v>20.4965</v>
      </c>
      <c r="Z41" s="38">
        <f>30.78957+0.652+0.158</f>
        <v>31.599570000000003</v>
      </c>
      <c r="AA41" s="48">
        <f>8.5615</f>
        <v>8.5615</v>
      </c>
      <c r="AB41" s="48">
        <v>11.935</v>
      </c>
      <c r="AC41" s="48"/>
      <c r="AD41" s="48">
        <f>X41</f>
        <v>5.04938524</v>
      </c>
      <c r="AE41" s="21">
        <f>Z41+AH41</f>
        <v>48.47312300000001</v>
      </c>
      <c r="AF41" s="50">
        <f>Z41-Y41</f>
        <v>11.103070000000002</v>
      </c>
      <c r="AG41" s="40">
        <f t="shared" si="4"/>
        <v>117.21343521643979</v>
      </c>
      <c r="AH41" s="21">
        <f>21.133553+0.088-0.04-1.391-10.418+7.523-0.022</f>
        <v>16.873553000000005</v>
      </c>
      <c r="AI41" s="41">
        <f>AJ41+AN41</f>
        <v>27.2978</v>
      </c>
      <c r="AJ41" s="41">
        <f>AK41+AL41</f>
        <v>18.0078</v>
      </c>
      <c r="AK41" s="51">
        <v>4.9528</v>
      </c>
      <c r="AL41" s="51">
        <v>13.055</v>
      </c>
      <c r="AM41" s="21">
        <f t="shared" si="5"/>
        <v>51.3638</v>
      </c>
      <c r="AN41" s="51">
        <v>9.29</v>
      </c>
      <c r="AO41" s="50">
        <v>24.066</v>
      </c>
      <c r="AP41" s="21">
        <f t="shared" si="6"/>
        <v>12.000266617999994</v>
      </c>
      <c r="AQ41" s="21">
        <f t="shared" si="7"/>
        <v>12.000266617999994</v>
      </c>
      <c r="AR41" s="36">
        <f t="shared" si="8"/>
        <v>-44.51302577246929</v>
      </c>
      <c r="AS41" s="70"/>
      <c r="AT41" s="70"/>
      <c r="AU41" s="71" t="s">
        <v>51</v>
      </c>
    </row>
    <row r="42" spans="1:47" s="44" customFormat="1" ht="36" customHeight="1">
      <c r="A42" s="55">
        <v>13</v>
      </c>
      <c r="B42" s="33" t="s">
        <v>63</v>
      </c>
      <c r="C42" s="47">
        <v>0.686</v>
      </c>
      <c r="D42" s="47">
        <v>0.686</v>
      </c>
      <c r="E42" s="21">
        <f t="shared" si="0"/>
        <v>0.635</v>
      </c>
      <c r="F42" s="35"/>
      <c r="G42" s="27">
        <f t="shared" si="2"/>
        <v>0.635</v>
      </c>
      <c r="H42" s="48"/>
      <c r="I42" s="48">
        <v>0.635</v>
      </c>
      <c r="J42" s="36"/>
      <c r="K42" s="38">
        <v>0.635</v>
      </c>
      <c r="L42" s="37"/>
      <c r="M42" s="48"/>
      <c r="N42" s="48"/>
      <c r="O42" s="36"/>
      <c r="P42" s="37"/>
      <c r="Q42" s="37"/>
      <c r="R42" s="48"/>
      <c r="S42" s="48"/>
      <c r="T42" s="36"/>
      <c r="U42" s="38"/>
      <c r="V42" s="38"/>
      <c r="W42" s="21">
        <f t="shared" si="10"/>
        <v>0.686</v>
      </c>
      <c r="X42" s="53"/>
      <c r="Y42" s="35"/>
      <c r="Z42" s="38">
        <v>0.581</v>
      </c>
      <c r="AA42" s="48"/>
      <c r="AB42" s="48"/>
      <c r="AC42" s="49"/>
      <c r="AD42" s="49"/>
      <c r="AE42" s="21">
        <f t="shared" si="9"/>
        <v>0.581</v>
      </c>
      <c r="AF42" s="50">
        <v>0.581</v>
      </c>
      <c r="AG42" s="40">
        <f t="shared" si="4"/>
        <v>84.69387755102039</v>
      </c>
      <c r="AH42" s="41"/>
      <c r="AI42" s="41">
        <v>1.128</v>
      </c>
      <c r="AJ42" s="41"/>
      <c r="AK42" s="51"/>
      <c r="AL42" s="51"/>
      <c r="AM42" s="21">
        <f t="shared" si="5"/>
        <v>1.128</v>
      </c>
      <c r="AN42" s="51"/>
      <c r="AO42" s="51"/>
      <c r="AP42" s="21">
        <f t="shared" si="6"/>
        <v>-0.051000000000000045</v>
      </c>
      <c r="AQ42" s="21">
        <f t="shared" si="7"/>
        <v>-0.051000000000000045</v>
      </c>
      <c r="AR42" s="36"/>
      <c r="AS42" s="52"/>
      <c r="AT42" s="52"/>
      <c r="AU42" s="71"/>
    </row>
    <row r="43" spans="1:47" s="72" customFormat="1" ht="94.5">
      <c r="A43" s="73">
        <v>14</v>
      </c>
      <c r="B43" s="69" t="s">
        <v>64</v>
      </c>
      <c r="C43" s="48">
        <v>3.54</v>
      </c>
      <c r="D43" s="48">
        <v>3.54</v>
      </c>
      <c r="E43" s="21">
        <f t="shared" si="0"/>
        <v>3.5403238000000012</v>
      </c>
      <c r="F43" s="35">
        <f t="shared" si="1"/>
        <v>100.00914689265541</v>
      </c>
      <c r="G43" s="27"/>
      <c r="H43" s="48">
        <v>1.6984</v>
      </c>
      <c r="I43" s="48">
        <f>12.62062266+0.2239+0.11891557+3.8644152+0.54675+0.13514468+0.22116158-6.05539078-0.25492055-6.31031133-3.157</f>
        <v>1.9532870300000011</v>
      </c>
      <c r="J43" s="36">
        <f>I43/H43*100</f>
        <v>115.00747939236938</v>
      </c>
      <c r="K43" s="37"/>
      <c r="L43" s="38">
        <f>I43</f>
        <v>1.9532870300000011</v>
      </c>
      <c r="M43" s="48">
        <v>0.003</v>
      </c>
      <c r="N43" s="48">
        <f>0.002+0.13514468+1.07890627+0.30306882</f>
        <v>1.51911977</v>
      </c>
      <c r="O43" s="36">
        <f>N43/M43*100</f>
        <v>50637.32566666667</v>
      </c>
      <c r="P43" s="37"/>
      <c r="Q43" s="38">
        <f>N43</f>
        <v>1.51911977</v>
      </c>
      <c r="R43" s="48">
        <v>0.92</v>
      </c>
      <c r="S43" s="48">
        <f>0.041417+0.0265</f>
        <v>0.067917</v>
      </c>
      <c r="T43" s="36">
        <f t="shared" si="3"/>
        <v>7.382282608695652</v>
      </c>
      <c r="U43" s="38"/>
      <c r="V43" s="38">
        <f>S43</f>
        <v>0.067917</v>
      </c>
      <c r="W43" s="21">
        <f t="shared" si="10"/>
        <v>0.9186000000000002</v>
      </c>
      <c r="X43" s="53"/>
      <c r="Y43" s="35">
        <f>AA43+AB43</f>
        <v>6.83225549</v>
      </c>
      <c r="Z43" s="38">
        <f>3.54</f>
        <v>3.54</v>
      </c>
      <c r="AA43" s="48">
        <f>4.20075549+0.6535</f>
        <v>4.85425549</v>
      </c>
      <c r="AB43" s="48">
        <v>1.978</v>
      </c>
      <c r="AC43" s="49"/>
      <c r="AD43" s="49"/>
      <c r="AE43" s="21">
        <v>3.54</v>
      </c>
      <c r="AF43" s="50">
        <v>0.206</v>
      </c>
      <c r="AG43" s="40">
        <f t="shared" si="4"/>
        <v>100</v>
      </c>
      <c r="AH43" s="21"/>
      <c r="AI43" s="41">
        <f>7.043</f>
        <v>7.043</v>
      </c>
      <c r="AJ43" s="41">
        <f>AK43+AL43</f>
        <v>6.83825549</v>
      </c>
      <c r="AK43" s="51">
        <f>4.20075549+0.6535</f>
        <v>4.85425549</v>
      </c>
      <c r="AL43" s="51">
        <v>1.984</v>
      </c>
      <c r="AM43" s="21">
        <v>3.54</v>
      </c>
      <c r="AN43" s="51">
        <v>0.205</v>
      </c>
      <c r="AO43" s="50"/>
      <c r="AP43" s="21"/>
      <c r="AQ43" s="21"/>
      <c r="AR43" s="36">
        <f t="shared" si="8"/>
        <v>-0.009146892655394367</v>
      </c>
      <c r="AS43" s="70"/>
      <c r="AT43" s="70"/>
      <c r="AU43" s="74" t="s">
        <v>65</v>
      </c>
    </row>
    <row r="44" spans="1:47" ht="31.5" hidden="1">
      <c r="A44" s="31">
        <v>42096</v>
      </c>
      <c r="B44" s="67" t="s">
        <v>66</v>
      </c>
      <c r="C44" s="57">
        <f>SUM(C45:C55)</f>
        <v>7.010000000000001</v>
      </c>
      <c r="D44" s="57">
        <f>SUM(D45:D55)</f>
        <v>7.010000000000001</v>
      </c>
      <c r="E44" s="21">
        <f t="shared" si="0"/>
        <v>0</v>
      </c>
      <c r="F44" s="21">
        <f t="shared" si="1"/>
        <v>0</v>
      </c>
      <c r="G44" s="27">
        <f t="shared" si="2"/>
        <v>0</v>
      </c>
      <c r="H44" s="57"/>
      <c r="I44" s="50"/>
      <c r="J44" s="28"/>
      <c r="K44" s="29"/>
      <c r="L44" s="29"/>
      <c r="M44" s="50">
        <v>0</v>
      </c>
      <c r="N44" s="50">
        <v>0</v>
      </c>
      <c r="O44" s="28"/>
      <c r="P44" s="29"/>
      <c r="Q44" s="29"/>
      <c r="R44" s="50">
        <v>0</v>
      </c>
      <c r="S44" s="50">
        <v>0</v>
      </c>
      <c r="T44" s="28" t="e">
        <f t="shared" si="3"/>
        <v>#DIV/0!</v>
      </c>
      <c r="U44" s="27"/>
      <c r="V44" s="27"/>
      <c r="W44" s="21">
        <v>0</v>
      </c>
      <c r="X44" s="50"/>
      <c r="Y44" s="21">
        <f>AA44+AB44</f>
        <v>1.24972966</v>
      </c>
      <c r="Z44" s="27">
        <f>Z45+Z46+Z47+Z50+Z51+Z52+Z53+Z54+Z55</f>
        <v>4.43209625</v>
      </c>
      <c r="AA44" s="50"/>
      <c r="AB44" s="50">
        <f>AB45+AB46+AB47+AB50+AB51+AB52+AB53+AB54+AB55</f>
        <v>1.24972966</v>
      </c>
      <c r="AC44" s="58"/>
      <c r="AD44" s="58"/>
      <c r="AE44" s="21">
        <f t="shared" si="9"/>
        <v>4.43209625</v>
      </c>
      <c r="AF44" s="50">
        <f>AF45+AF46+AF47+AF50+AF51+AF52+AF53+AF54+AF55</f>
        <v>3.182</v>
      </c>
      <c r="AG44" s="28">
        <f t="shared" si="4"/>
        <v>63.22533880171183</v>
      </c>
      <c r="AH44" s="21"/>
      <c r="AI44" s="21">
        <f>AJ44+AN44</f>
        <v>1.78272966</v>
      </c>
      <c r="AJ44" s="21">
        <f>AK44+AL44</f>
        <v>0.09072966</v>
      </c>
      <c r="AK44" s="50"/>
      <c r="AL44" s="50">
        <f>AL50</f>
        <v>0.09072966</v>
      </c>
      <c r="AM44" s="21">
        <f t="shared" si="5"/>
        <v>5.975729660000001</v>
      </c>
      <c r="AN44" s="50">
        <f>SUM(AN45:AN55)</f>
        <v>1.692</v>
      </c>
      <c r="AO44" s="50">
        <f>SUM(AO45:AO55)</f>
        <v>4.1930000000000005</v>
      </c>
      <c r="AP44" s="21">
        <f t="shared" si="6"/>
        <v>-7.010000000000001</v>
      </c>
      <c r="AQ44" s="21">
        <f t="shared" si="7"/>
        <v>-7.010000000000001</v>
      </c>
      <c r="AR44" s="28">
        <f t="shared" si="8"/>
        <v>100</v>
      </c>
      <c r="AS44" s="57"/>
      <c r="AT44" s="57"/>
      <c r="AU44" s="57"/>
    </row>
    <row r="45" spans="1:47" s="44" customFormat="1" ht="18.75">
      <c r="A45" s="55">
        <v>15</v>
      </c>
      <c r="B45" s="33" t="s">
        <v>67</v>
      </c>
      <c r="C45" s="47">
        <v>3.298</v>
      </c>
      <c r="D45" s="47">
        <v>3.298</v>
      </c>
      <c r="E45" s="21">
        <f t="shared" si="0"/>
        <v>3.298</v>
      </c>
      <c r="F45" s="35"/>
      <c r="G45" s="27">
        <f t="shared" si="2"/>
        <v>3.298</v>
      </c>
      <c r="H45" s="48"/>
      <c r="I45" s="48"/>
      <c r="J45" s="36"/>
      <c r="K45" s="37"/>
      <c r="L45" s="37"/>
      <c r="M45" s="48">
        <v>1.02</v>
      </c>
      <c r="N45" s="48"/>
      <c r="O45" s="36"/>
      <c r="P45" s="37"/>
      <c r="Q45" s="37"/>
      <c r="R45" s="48">
        <v>2.278</v>
      </c>
      <c r="S45" s="48"/>
      <c r="T45" s="36"/>
      <c r="U45" s="38"/>
      <c r="V45" s="38"/>
      <c r="W45" s="21"/>
      <c r="X45" s="48">
        <v>3.298</v>
      </c>
      <c r="Y45" s="35"/>
      <c r="Z45" s="38">
        <v>2.79491525</v>
      </c>
      <c r="AA45" s="48"/>
      <c r="AB45" s="48"/>
      <c r="AC45" s="49">
        <f>X45</f>
        <v>3.298</v>
      </c>
      <c r="AD45" s="49"/>
      <c r="AE45" s="21">
        <v>2.798</v>
      </c>
      <c r="AF45" s="50">
        <v>2.795</v>
      </c>
      <c r="AG45" s="40">
        <f t="shared" si="4"/>
        <v>84.74576258338386</v>
      </c>
      <c r="AH45" s="21">
        <v>2.85</v>
      </c>
      <c r="AI45" s="41"/>
      <c r="AJ45" s="41"/>
      <c r="AK45" s="51"/>
      <c r="AL45" s="51"/>
      <c r="AM45" s="21">
        <f t="shared" si="5"/>
        <v>2.798</v>
      </c>
      <c r="AN45" s="51"/>
      <c r="AO45" s="50">
        <v>2.798</v>
      </c>
      <c r="AP45" s="21">
        <f t="shared" si="6"/>
        <v>0</v>
      </c>
      <c r="AQ45" s="21">
        <f t="shared" si="7"/>
        <v>0</v>
      </c>
      <c r="AR45" s="36">
        <f t="shared" si="8"/>
        <v>0</v>
      </c>
      <c r="AS45" s="52"/>
      <c r="AT45" s="52"/>
      <c r="AU45" s="43" t="s">
        <v>68</v>
      </c>
    </row>
    <row r="46" spans="1:47" s="44" customFormat="1" ht="18.75">
      <c r="A46" s="55">
        <v>16</v>
      </c>
      <c r="B46" s="33" t="s">
        <v>69</v>
      </c>
      <c r="C46" s="47">
        <v>1.397</v>
      </c>
      <c r="D46" s="47">
        <v>1.397</v>
      </c>
      <c r="E46" s="21">
        <f t="shared" si="0"/>
        <v>1.1590638400000002</v>
      </c>
      <c r="F46" s="35">
        <f t="shared" si="1"/>
        <v>82.968062992126</v>
      </c>
      <c r="G46" s="27">
        <f t="shared" si="2"/>
        <v>1.1590638400000002</v>
      </c>
      <c r="H46" s="48"/>
      <c r="I46" s="48"/>
      <c r="J46" s="36"/>
      <c r="K46" s="37"/>
      <c r="L46" s="37"/>
      <c r="M46" s="48">
        <v>0.496</v>
      </c>
      <c r="N46" s="48"/>
      <c r="O46" s="36"/>
      <c r="P46" s="37"/>
      <c r="Q46" s="37"/>
      <c r="R46" s="48"/>
      <c r="S46" s="48">
        <f>1.08028231+0.07878153</f>
        <v>1.1590638400000002</v>
      </c>
      <c r="T46" s="36"/>
      <c r="U46" s="38">
        <f>S46</f>
        <v>1.1590638400000002</v>
      </c>
      <c r="V46" s="38"/>
      <c r="W46" s="21">
        <f t="shared" si="10"/>
        <v>0.901</v>
      </c>
      <c r="X46" s="53"/>
      <c r="Y46" s="35">
        <f>AA46+AB46</f>
        <v>1.159</v>
      </c>
      <c r="Z46" s="38">
        <v>1.184</v>
      </c>
      <c r="AA46" s="48"/>
      <c r="AB46" s="48">
        <v>1.159</v>
      </c>
      <c r="AC46" s="49"/>
      <c r="AD46" s="49"/>
      <c r="AE46" s="21">
        <f t="shared" si="9"/>
        <v>1.184</v>
      </c>
      <c r="AF46" s="50">
        <f>Z46-Y46</f>
        <v>0.02499999999999991</v>
      </c>
      <c r="AG46" s="40">
        <f t="shared" si="4"/>
        <v>84.75304223335719</v>
      </c>
      <c r="AH46" s="41"/>
      <c r="AI46" s="41">
        <f>AJ46+AN46</f>
        <v>1.184</v>
      </c>
      <c r="AJ46" s="41"/>
      <c r="AK46" s="51"/>
      <c r="AL46" s="51"/>
      <c r="AM46" s="21">
        <f t="shared" si="5"/>
        <v>1.184</v>
      </c>
      <c r="AN46" s="51">
        <v>1.184</v>
      </c>
      <c r="AO46" s="51"/>
      <c r="AP46" s="21">
        <f t="shared" si="6"/>
        <v>-0.23793615999999984</v>
      </c>
      <c r="AQ46" s="21">
        <f t="shared" si="7"/>
        <v>-0.23793615999999984</v>
      </c>
      <c r="AR46" s="36">
        <f t="shared" si="8"/>
        <v>17.031937007874006</v>
      </c>
      <c r="AS46" s="52"/>
      <c r="AT46" s="52"/>
      <c r="AU46" s="43"/>
    </row>
    <row r="47" spans="1:47" s="44" customFormat="1" ht="18.75">
      <c r="A47" s="55">
        <v>17</v>
      </c>
      <c r="B47" s="33" t="s">
        <v>70</v>
      </c>
      <c r="C47" s="47">
        <v>0.59</v>
      </c>
      <c r="D47" s="47">
        <v>0.59</v>
      </c>
      <c r="E47" s="21">
        <f t="shared" si="0"/>
        <v>0.5740000000000001</v>
      </c>
      <c r="F47" s="35"/>
      <c r="G47" s="27">
        <f t="shared" si="2"/>
        <v>0.5740000000000001</v>
      </c>
      <c r="H47" s="48"/>
      <c r="I47" s="48"/>
      <c r="J47" s="36"/>
      <c r="K47" s="37"/>
      <c r="L47" s="37"/>
      <c r="M47" s="48">
        <v>0.177</v>
      </c>
      <c r="N47" s="48"/>
      <c r="O47" s="36"/>
      <c r="P47" s="37"/>
      <c r="Q47" s="37"/>
      <c r="R47" s="48"/>
      <c r="S47" s="48">
        <v>0.172</v>
      </c>
      <c r="T47" s="36"/>
      <c r="U47" s="38">
        <v>0.172</v>
      </c>
      <c r="V47" s="38"/>
      <c r="W47" s="21">
        <f t="shared" si="10"/>
        <v>0.413</v>
      </c>
      <c r="X47" s="48">
        <v>0.402</v>
      </c>
      <c r="Y47" s="35"/>
      <c r="Z47" s="38">
        <v>0.362181</v>
      </c>
      <c r="AA47" s="48"/>
      <c r="AB47" s="48"/>
      <c r="AC47" s="49">
        <v>0.402</v>
      </c>
      <c r="AD47" s="49"/>
      <c r="AE47" s="21">
        <f t="shared" si="9"/>
        <v>0.49563599999999997</v>
      </c>
      <c r="AF47" s="50">
        <v>0.362</v>
      </c>
      <c r="AG47" s="40">
        <f t="shared" si="4"/>
        <v>61.386610169491526</v>
      </c>
      <c r="AH47" s="21">
        <v>0.133455</v>
      </c>
      <c r="AI47" s="41"/>
      <c r="AJ47" s="41"/>
      <c r="AK47" s="51"/>
      <c r="AL47" s="51"/>
      <c r="AM47" s="21">
        <f>AO47</f>
        <v>0.495</v>
      </c>
      <c r="AN47" s="51"/>
      <c r="AO47" s="50">
        <v>0.495</v>
      </c>
      <c r="AP47" s="21">
        <f t="shared" si="6"/>
        <v>-0.015999999999999903</v>
      </c>
      <c r="AQ47" s="21">
        <f t="shared" si="7"/>
        <v>-0.015999999999999903</v>
      </c>
      <c r="AR47" s="36">
        <f t="shared" si="8"/>
        <v>2.7118644067796396</v>
      </c>
      <c r="AS47" s="52"/>
      <c r="AT47" s="52"/>
      <c r="AU47" s="43"/>
    </row>
    <row r="48" spans="1:47" s="44" customFormat="1" ht="18.75">
      <c r="A48" s="55">
        <v>18</v>
      </c>
      <c r="B48" s="33" t="s">
        <v>71</v>
      </c>
      <c r="C48" s="47">
        <v>0.06</v>
      </c>
      <c r="D48" s="47">
        <v>0.06</v>
      </c>
      <c r="E48" s="21">
        <v>0.069</v>
      </c>
      <c r="F48" s="35"/>
      <c r="G48" s="27"/>
      <c r="H48" s="48"/>
      <c r="I48" s="48"/>
      <c r="J48" s="36"/>
      <c r="K48" s="37"/>
      <c r="L48" s="37"/>
      <c r="M48" s="48"/>
      <c r="N48" s="48"/>
      <c r="O48" s="36"/>
      <c r="P48" s="37"/>
      <c r="Q48" s="37"/>
      <c r="R48" s="48"/>
      <c r="S48" s="48">
        <v>0.06</v>
      </c>
      <c r="T48" s="36"/>
      <c r="U48" s="38"/>
      <c r="V48" s="38">
        <v>0.06</v>
      </c>
      <c r="W48" s="21">
        <f t="shared" si="10"/>
        <v>0.06</v>
      </c>
      <c r="X48" s="48"/>
      <c r="Y48" s="35"/>
      <c r="Z48" s="38">
        <v>0.051</v>
      </c>
      <c r="AA48" s="48"/>
      <c r="AB48" s="48"/>
      <c r="AC48" s="49"/>
      <c r="AD48" s="49"/>
      <c r="AE48" s="21">
        <f t="shared" si="9"/>
        <v>0.051</v>
      </c>
      <c r="AF48" s="50">
        <v>0.051</v>
      </c>
      <c r="AG48" s="40">
        <f t="shared" si="4"/>
        <v>85</v>
      </c>
      <c r="AH48" s="41"/>
      <c r="AI48" s="41">
        <v>0.051</v>
      </c>
      <c r="AJ48" s="41"/>
      <c r="AK48" s="51"/>
      <c r="AL48" s="51"/>
      <c r="AM48" s="21">
        <f t="shared" si="5"/>
        <v>0.051</v>
      </c>
      <c r="AN48" s="51"/>
      <c r="AO48" s="51"/>
      <c r="AP48" s="21">
        <f t="shared" si="6"/>
        <v>0.009000000000000008</v>
      </c>
      <c r="AQ48" s="21">
        <f t="shared" si="7"/>
        <v>0.009000000000000008</v>
      </c>
      <c r="AR48" s="36">
        <f t="shared" si="8"/>
        <v>-15.000000000000014</v>
      </c>
      <c r="AS48" s="52"/>
      <c r="AT48" s="52"/>
      <c r="AU48" s="43"/>
    </row>
    <row r="49" spans="1:47" s="44" customFormat="1" ht="47.25">
      <c r="A49" s="55">
        <v>19</v>
      </c>
      <c r="B49" s="33" t="s">
        <v>72</v>
      </c>
      <c r="C49" s="47">
        <v>0.6</v>
      </c>
      <c r="D49" s="47">
        <v>0.6</v>
      </c>
      <c r="E49" s="21">
        <f t="shared" si="0"/>
        <v>0.419916</v>
      </c>
      <c r="F49" s="35"/>
      <c r="G49" s="27">
        <f t="shared" si="2"/>
        <v>0.419916</v>
      </c>
      <c r="H49" s="48"/>
      <c r="I49" s="48"/>
      <c r="J49" s="36"/>
      <c r="K49" s="37"/>
      <c r="L49" s="37"/>
      <c r="M49" s="48"/>
      <c r="N49" s="48"/>
      <c r="O49" s="36"/>
      <c r="P49" s="37"/>
      <c r="Q49" s="37"/>
      <c r="R49" s="48"/>
      <c r="S49" s="48"/>
      <c r="T49" s="36"/>
      <c r="U49" s="38"/>
      <c r="V49" s="38"/>
      <c r="W49" s="21">
        <f t="shared" si="10"/>
        <v>0.6</v>
      </c>
      <c r="X49" s="48">
        <v>0.419916</v>
      </c>
      <c r="Y49" s="35"/>
      <c r="Z49" s="38">
        <v>0.508</v>
      </c>
      <c r="AA49" s="48"/>
      <c r="AB49" s="48"/>
      <c r="AC49" s="49">
        <f>X49</f>
        <v>0.419916</v>
      </c>
      <c r="AD49" s="49"/>
      <c r="AE49" s="21">
        <f t="shared" si="9"/>
        <v>0.508</v>
      </c>
      <c r="AF49" s="50">
        <v>0.508</v>
      </c>
      <c r="AG49" s="40"/>
      <c r="AH49" s="41"/>
      <c r="AI49" s="41">
        <v>0.508</v>
      </c>
      <c r="AJ49" s="41"/>
      <c r="AK49" s="51"/>
      <c r="AL49" s="51"/>
      <c r="AM49" s="21">
        <f t="shared" si="5"/>
        <v>0.508</v>
      </c>
      <c r="AN49" s="51">
        <v>0.508</v>
      </c>
      <c r="AO49" s="51"/>
      <c r="AP49" s="21">
        <f t="shared" si="6"/>
        <v>-0.18008399999999997</v>
      </c>
      <c r="AQ49" s="21">
        <f t="shared" si="7"/>
        <v>-0.18008399999999997</v>
      </c>
      <c r="AR49" s="36">
        <f t="shared" si="8"/>
        <v>30.013999999999996</v>
      </c>
      <c r="AS49" s="52"/>
      <c r="AT49" s="52"/>
      <c r="AU49" s="43"/>
    </row>
    <row r="50" spans="1:47" s="44" customFormat="1" ht="31.5">
      <c r="A50" s="55">
        <v>20</v>
      </c>
      <c r="B50" s="33" t="s">
        <v>73</v>
      </c>
      <c r="C50" s="47">
        <v>0.107</v>
      </c>
      <c r="D50" s="47">
        <v>0.107</v>
      </c>
      <c r="E50" s="21">
        <f t="shared" si="0"/>
        <v>0.106191</v>
      </c>
      <c r="F50" s="35"/>
      <c r="G50" s="27"/>
      <c r="H50" s="48"/>
      <c r="I50" s="48"/>
      <c r="J50" s="36"/>
      <c r="K50" s="37"/>
      <c r="L50" s="37"/>
      <c r="M50" s="48">
        <v>0.106</v>
      </c>
      <c r="N50" s="48">
        <v>0.106191</v>
      </c>
      <c r="O50" s="36"/>
      <c r="P50" s="37"/>
      <c r="Q50" s="38">
        <f>N50</f>
        <v>0.106191</v>
      </c>
      <c r="R50" s="48"/>
      <c r="S50" s="48"/>
      <c r="T50" s="36"/>
      <c r="U50" s="38"/>
      <c r="V50" s="38"/>
      <c r="W50" s="21">
        <f t="shared" si="10"/>
        <v>0.0010000000000000009</v>
      </c>
      <c r="X50" s="53"/>
      <c r="Y50" s="35">
        <f>AA50+AB50</f>
        <v>0.09072966</v>
      </c>
      <c r="Z50" s="38">
        <v>0.091</v>
      </c>
      <c r="AA50" s="48"/>
      <c r="AB50" s="48">
        <v>0.09072966</v>
      </c>
      <c r="AC50" s="49"/>
      <c r="AD50" s="49"/>
      <c r="AE50" s="21">
        <f t="shared" si="9"/>
        <v>0.091</v>
      </c>
      <c r="AF50" s="50"/>
      <c r="AG50" s="40">
        <f t="shared" si="4"/>
        <v>85.04672897196261</v>
      </c>
      <c r="AH50" s="41"/>
      <c r="AI50" s="41">
        <f>AJ50+AN50</f>
        <v>0.09072966</v>
      </c>
      <c r="AJ50" s="41">
        <f>AK50+AL50</f>
        <v>0.09072966</v>
      </c>
      <c r="AK50" s="51"/>
      <c r="AL50" s="51">
        <f>AB50</f>
        <v>0.09072966</v>
      </c>
      <c r="AM50" s="21">
        <f t="shared" si="5"/>
        <v>0.09072966</v>
      </c>
      <c r="AN50" s="51"/>
      <c r="AO50" s="51"/>
      <c r="AP50" s="21">
        <f t="shared" si="6"/>
        <v>-0.0008090000000000042</v>
      </c>
      <c r="AQ50" s="21">
        <f t="shared" si="7"/>
        <v>-0.0008090000000000042</v>
      </c>
      <c r="AR50" s="36">
        <f t="shared" si="8"/>
        <v>0.756074766355141</v>
      </c>
      <c r="AS50" s="52"/>
      <c r="AT50" s="52"/>
      <c r="AU50" s="43" t="s">
        <v>68</v>
      </c>
    </row>
    <row r="51" spans="1:47" s="44" customFormat="1" ht="31.5">
      <c r="A51" s="55">
        <v>21</v>
      </c>
      <c r="B51" s="33" t="s">
        <v>74</v>
      </c>
      <c r="C51" s="47">
        <v>0.118</v>
      </c>
      <c r="D51" s="47">
        <v>0.118</v>
      </c>
      <c r="E51" s="21"/>
      <c r="F51" s="35"/>
      <c r="G51" s="27"/>
      <c r="H51" s="48"/>
      <c r="I51" s="48"/>
      <c r="J51" s="36"/>
      <c r="K51" s="37"/>
      <c r="L51" s="37"/>
      <c r="M51" s="48">
        <v>0.035</v>
      </c>
      <c r="N51" s="48"/>
      <c r="O51" s="36"/>
      <c r="P51" s="37"/>
      <c r="Q51" s="37"/>
      <c r="R51" s="48"/>
      <c r="S51" s="48"/>
      <c r="T51" s="36"/>
      <c r="U51" s="38"/>
      <c r="V51" s="38"/>
      <c r="W51" s="21">
        <f t="shared" si="10"/>
        <v>0.08299999999999999</v>
      </c>
      <c r="X51" s="53"/>
      <c r="Y51" s="35"/>
      <c r="Z51" s="38"/>
      <c r="AA51" s="48"/>
      <c r="AB51" s="48"/>
      <c r="AC51" s="49"/>
      <c r="AD51" s="49"/>
      <c r="AE51" s="21">
        <v>0.04</v>
      </c>
      <c r="AF51" s="50"/>
      <c r="AG51" s="40"/>
      <c r="AH51" s="21"/>
      <c r="AI51" s="41"/>
      <c r="AJ51" s="41"/>
      <c r="AK51" s="51"/>
      <c r="AL51" s="51"/>
      <c r="AM51" s="21">
        <f t="shared" si="5"/>
        <v>0.04</v>
      </c>
      <c r="AN51" s="51"/>
      <c r="AO51" s="50">
        <v>0.04</v>
      </c>
      <c r="AP51" s="21">
        <f t="shared" si="6"/>
        <v>-0.118</v>
      </c>
      <c r="AQ51" s="21">
        <f t="shared" si="7"/>
        <v>-0.118</v>
      </c>
      <c r="AR51" s="36">
        <f t="shared" si="8"/>
        <v>100</v>
      </c>
      <c r="AS51" s="52"/>
      <c r="AT51" s="52"/>
      <c r="AU51" s="43" t="s">
        <v>68</v>
      </c>
    </row>
    <row r="52" spans="1:47" s="44" customFormat="1" ht="31.5">
      <c r="A52" s="55">
        <v>22</v>
      </c>
      <c r="B52" s="33" t="s">
        <v>75</v>
      </c>
      <c r="C52" s="47">
        <v>0.118</v>
      </c>
      <c r="D52" s="47">
        <v>0.118</v>
      </c>
      <c r="E52" s="21"/>
      <c r="F52" s="35"/>
      <c r="G52" s="27"/>
      <c r="H52" s="48"/>
      <c r="I52" s="48"/>
      <c r="J52" s="36"/>
      <c r="K52" s="37"/>
      <c r="L52" s="37"/>
      <c r="M52" s="48">
        <v>0.035</v>
      </c>
      <c r="N52" s="48"/>
      <c r="O52" s="36"/>
      <c r="P52" s="37"/>
      <c r="Q52" s="37"/>
      <c r="R52" s="48"/>
      <c r="S52" s="48"/>
      <c r="T52" s="36"/>
      <c r="U52" s="38"/>
      <c r="V52" s="38"/>
      <c r="W52" s="21">
        <f t="shared" si="10"/>
        <v>0.08299999999999999</v>
      </c>
      <c r="X52" s="53"/>
      <c r="Y52" s="35"/>
      <c r="Z52" s="38"/>
      <c r="AA52" s="48"/>
      <c r="AB52" s="48"/>
      <c r="AC52" s="49"/>
      <c r="AD52" s="49"/>
      <c r="AE52" s="21">
        <v>0.048</v>
      </c>
      <c r="AF52" s="50"/>
      <c r="AG52" s="40"/>
      <c r="AH52" s="21"/>
      <c r="AI52" s="41"/>
      <c r="AJ52" s="41"/>
      <c r="AK52" s="51"/>
      <c r="AL52" s="51"/>
      <c r="AM52" s="21">
        <f t="shared" si="5"/>
        <v>0.048</v>
      </c>
      <c r="AN52" s="51"/>
      <c r="AO52" s="50">
        <v>0.048</v>
      </c>
      <c r="AP52" s="21">
        <f t="shared" si="6"/>
        <v>-0.118</v>
      </c>
      <c r="AQ52" s="21">
        <f t="shared" si="7"/>
        <v>-0.118</v>
      </c>
      <c r="AR52" s="36">
        <f t="shared" si="8"/>
        <v>100</v>
      </c>
      <c r="AS52" s="52"/>
      <c r="AT52" s="52"/>
      <c r="AU52" s="43" t="s">
        <v>68</v>
      </c>
    </row>
    <row r="53" spans="1:47" s="44" customFormat="1" ht="31.5">
      <c r="A53" s="55">
        <v>23</v>
      </c>
      <c r="B53" s="33" t="s">
        <v>76</v>
      </c>
      <c r="C53" s="47">
        <v>0.354</v>
      </c>
      <c r="D53" s="47">
        <v>0.354</v>
      </c>
      <c r="E53" s="21"/>
      <c r="F53" s="35"/>
      <c r="G53" s="27"/>
      <c r="H53" s="48"/>
      <c r="I53" s="48"/>
      <c r="J53" s="36"/>
      <c r="K53" s="37"/>
      <c r="L53" s="37"/>
      <c r="M53" s="48">
        <v>0.106</v>
      </c>
      <c r="N53" s="48"/>
      <c r="O53" s="36"/>
      <c r="P53" s="37"/>
      <c r="Q53" s="37"/>
      <c r="R53" s="48"/>
      <c r="S53" s="48"/>
      <c r="T53" s="36"/>
      <c r="U53" s="38"/>
      <c r="V53" s="38"/>
      <c r="W53" s="21">
        <f t="shared" si="10"/>
        <v>0.248</v>
      </c>
      <c r="X53" s="53"/>
      <c r="Y53" s="35"/>
      <c r="Z53" s="38"/>
      <c r="AA53" s="48"/>
      <c r="AB53" s="48"/>
      <c r="AC53" s="49"/>
      <c r="AD53" s="49"/>
      <c r="AE53" s="21">
        <f>Z53+AH53</f>
        <v>0.3516</v>
      </c>
      <c r="AF53" s="50"/>
      <c r="AG53" s="40"/>
      <c r="AH53" s="21">
        <v>0.3516</v>
      </c>
      <c r="AI53" s="41"/>
      <c r="AJ53" s="41"/>
      <c r="AK53" s="51"/>
      <c r="AL53" s="51"/>
      <c r="AM53" s="21">
        <f t="shared" si="5"/>
        <v>0.352</v>
      </c>
      <c r="AN53" s="51"/>
      <c r="AO53" s="50">
        <v>0.352</v>
      </c>
      <c r="AP53" s="21">
        <f t="shared" si="6"/>
        <v>-0.354</v>
      </c>
      <c r="AQ53" s="21">
        <f t="shared" si="7"/>
        <v>-0.354</v>
      </c>
      <c r="AR53" s="36">
        <f t="shared" si="8"/>
        <v>100</v>
      </c>
      <c r="AS53" s="52"/>
      <c r="AT53" s="52"/>
      <c r="AU53" s="43" t="s">
        <v>68</v>
      </c>
    </row>
    <row r="54" spans="1:47" s="44" customFormat="1" ht="31.5">
      <c r="A54" s="55">
        <v>24</v>
      </c>
      <c r="B54" s="33" t="s">
        <v>77</v>
      </c>
      <c r="C54" s="47">
        <v>0.118</v>
      </c>
      <c r="D54" s="47">
        <v>0.118</v>
      </c>
      <c r="E54" s="21"/>
      <c r="F54" s="35"/>
      <c r="G54" s="27"/>
      <c r="H54" s="48"/>
      <c r="I54" s="48"/>
      <c r="J54" s="36"/>
      <c r="K54" s="37"/>
      <c r="L54" s="37"/>
      <c r="M54" s="48">
        <v>0.035</v>
      </c>
      <c r="N54" s="48"/>
      <c r="O54" s="36"/>
      <c r="P54" s="37"/>
      <c r="Q54" s="37"/>
      <c r="R54" s="48"/>
      <c r="S54" s="48"/>
      <c r="T54" s="36"/>
      <c r="U54" s="38"/>
      <c r="V54" s="38"/>
      <c r="W54" s="21">
        <f t="shared" si="10"/>
        <v>0.08299999999999999</v>
      </c>
      <c r="X54" s="53"/>
      <c r="Y54" s="35"/>
      <c r="Z54" s="38"/>
      <c r="AA54" s="48"/>
      <c r="AB54" s="48"/>
      <c r="AC54" s="49"/>
      <c r="AD54" s="49"/>
      <c r="AE54" s="21">
        <f>Z54+AH54</f>
        <v>0.066483</v>
      </c>
      <c r="AF54" s="50"/>
      <c r="AG54" s="40"/>
      <c r="AH54" s="21">
        <v>0.066483</v>
      </c>
      <c r="AI54" s="41"/>
      <c r="AJ54" s="41"/>
      <c r="AK54" s="51"/>
      <c r="AL54" s="51"/>
      <c r="AM54" s="21">
        <f t="shared" si="5"/>
        <v>0.067</v>
      </c>
      <c r="AN54" s="51"/>
      <c r="AO54" s="50">
        <v>0.067</v>
      </c>
      <c r="AP54" s="21">
        <f t="shared" si="6"/>
        <v>-0.118</v>
      </c>
      <c r="AQ54" s="21">
        <f t="shared" si="7"/>
        <v>-0.118</v>
      </c>
      <c r="AR54" s="36">
        <f t="shared" si="8"/>
        <v>100</v>
      </c>
      <c r="AS54" s="52"/>
      <c r="AT54" s="52"/>
      <c r="AU54" s="43" t="s">
        <v>68</v>
      </c>
    </row>
    <row r="55" spans="1:47" s="44" customFormat="1" ht="18.75">
      <c r="A55" s="55">
        <v>25</v>
      </c>
      <c r="B55" s="33" t="s">
        <v>78</v>
      </c>
      <c r="C55" s="47">
        <v>0.25</v>
      </c>
      <c r="D55" s="47">
        <v>0.25</v>
      </c>
      <c r="E55" s="21"/>
      <c r="F55" s="35"/>
      <c r="G55" s="27"/>
      <c r="H55" s="48"/>
      <c r="I55" s="48"/>
      <c r="J55" s="36"/>
      <c r="K55" s="37"/>
      <c r="L55" s="37"/>
      <c r="M55" s="48">
        <v>0.075</v>
      </c>
      <c r="N55" s="48"/>
      <c r="O55" s="36"/>
      <c r="P55" s="37"/>
      <c r="Q55" s="37"/>
      <c r="R55" s="48"/>
      <c r="S55" s="48"/>
      <c r="T55" s="36"/>
      <c r="U55" s="38"/>
      <c r="V55" s="38"/>
      <c r="W55" s="21">
        <f t="shared" si="10"/>
        <v>0.175</v>
      </c>
      <c r="X55" s="53"/>
      <c r="Y55" s="35"/>
      <c r="Z55" s="38"/>
      <c r="AA55" s="48"/>
      <c r="AB55" s="48"/>
      <c r="AC55" s="49"/>
      <c r="AD55" s="49"/>
      <c r="AE55" s="21">
        <v>0.398</v>
      </c>
      <c r="AF55" s="50"/>
      <c r="AG55" s="40"/>
      <c r="AH55" s="21">
        <v>0.398305</v>
      </c>
      <c r="AI55" s="41"/>
      <c r="AJ55" s="41"/>
      <c r="AK55" s="51"/>
      <c r="AL55" s="51"/>
      <c r="AM55" s="21">
        <f t="shared" si="5"/>
        <v>0.393</v>
      </c>
      <c r="AN55" s="51"/>
      <c r="AO55" s="50">
        <v>0.393</v>
      </c>
      <c r="AP55" s="21">
        <f t="shared" si="6"/>
        <v>-0.25</v>
      </c>
      <c r="AQ55" s="21">
        <f t="shared" si="7"/>
        <v>-0.25</v>
      </c>
      <c r="AR55" s="36">
        <f t="shared" si="8"/>
        <v>100</v>
      </c>
      <c r="AS55" s="52"/>
      <c r="AT55" s="52"/>
      <c r="AU55" s="43" t="s">
        <v>68</v>
      </c>
    </row>
    <row r="56" spans="1:47" ht="18.75" hidden="1">
      <c r="A56" s="66">
        <v>42126</v>
      </c>
      <c r="B56" s="67" t="s">
        <v>79</v>
      </c>
      <c r="C56" s="57">
        <f>SUM(C57:C60)</f>
        <v>0.1548</v>
      </c>
      <c r="D56" s="57">
        <f>SUM(D57:D60)</f>
        <v>0.1548</v>
      </c>
      <c r="E56" s="21"/>
      <c r="F56" s="21"/>
      <c r="G56" s="27"/>
      <c r="H56" s="57"/>
      <c r="I56" s="50"/>
      <c r="J56" s="28"/>
      <c r="K56" s="29"/>
      <c r="L56" s="29"/>
      <c r="M56" s="50">
        <f>SUM(M57:M60)</f>
        <v>0</v>
      </c>
      <c r="N56" s="50"/>
      <c r="O56" s="28"/>
      <c r="P56" s="29"/>
      <c r="Q56" s="29"/>
      <c r="R56" s="50"/>
      <c r="S56" s="50"/>
      <c r="T56" s="28"/>
      <c r="U56" s="27"/>
      <c r="V56" s="27"/>
      <c r="W56" s="21">
        <f t="shared" si="10"/>
        <v>0.1548</v>
      </c>
      <c r="X56" s="50"/>
      <c r="Y56" s="21"/>
      <c r="Z56" s="27"/>
      <c r="AA56" s="50"/>
      <c r="AB56" s="50"/>
      <c r="AC56" s="58"/>
      <c r="AD56" s="58"/>
      <c r="AE56" s="21">
        <f>Z56+AH56</f>
        <v>0</v>
      </c>
      <c r="AF56" s="50"/>
      <c r="AG56" s="28"/>
      <c r="AH56" s="21"/>
      <c r="AI56" s="21"/>
      <c r="AJ56" s="21"/>
      <c r="AK56" s="50"/>
      <c r="AL56" s="50"/>
      <c r="AM56" s="21"/>
      <c r="AN56" s="50"/>
      <c r="AO56" s="50"/>
      <c r="AP56" s="21">
        <f t="shared" si="6"/>
        <v>-0.1548</v>
      </c>
      <c r="AQ56" s="21">
        <f t="shared" si="7"/>
        <v>-0.1548</v>
      </c>
      <c r="AR56" s="28">
        <f t="shared" si="8"/>
        <v>100</v>
      </c>
      <c r="AS56" s="57"/>
      <c r="AT56" s="57"/>
      <c r="AU56" s="57"/>
    </row>
    <row r="57" spans="1:47" s="44" customFormat="1" ht="47.25">
      <c r="A57" s="55">
        <v>26</v>
      </c>
      <c r="B57" s="33" t="s">
        <v>80</v>
      </c>
      <c r="C57" s="47">
        <f>0.0644</f>
        <v>0.0644</v>
      </c>
      <c r="D57" s="47">
        <f>0.0644</f>
        <v>0.0644</v>
      </c>
      <c r="E57" s="21"/>
      <c r="F57" s="35"/>
      <c r="G57" s="27"/>
      <c r="H57" s="48"/>
      <c r="I57" s="48"/>
      <c r="J57" s="36"/>
      <c r="K57" s="37"/>
      <c r="L57" s="37"/>
      <c r="M57" s="48"/>
      <c r="N57" s="48"/>
      <c r="O57" s="36"/>
      <c r="P57" s="37"/>
      <c r="Q57" s="37"/>
      <c r="R57" s="48"/>
      <c r="S57" s="48"/>
      <c r="T57" s="36"/>
      <c r="U57" s="38"/>
      <c r="V57" s="38"/>
      <c r="W57" s="21">
        <f t="shared" si="10"/>
        <v>0.0644</v>
      </c>
      <c r="X57" s="53"/>
      <c r="Y57" s="35"/>
      <c r="Z57" s="38"/>
      <c r="AA57" s="48"/>
      <c r="AB57" s="48"/>
      <c r="AC57" s="49"/>
      <c r="AD57" s="49"/>
      <c r="AE57" s="21">
        <f>Z57+AH57</f>
        <v>0.022</v>
      </c>
      <c r="AF57" s="50"/>
      <c r="AG57" s="40"/>
      <c r="AH57" s="21">
        <v>0.022</v>
      </c>
      <c r="AI57" s="41"/>
      <c r="AJ57" s="41"/>
      <c r="AK57" s="51"/>
      <c r="AL57" s="51"/>
      <c r="AM57" s="21"/>
      <c r="AN57" s="51"/>
      <c r="AO57" s="51"/>
      <c r="AP57" s="21">
        <f t="shared" si="6"/>
        <v>-0.0644</v>
      </c>
      <c r="AQ57" s="21">
        <f t="shared" si="7"/>
        <v>-0.0644</v>
      </c>
      <c r="AR57" s="36">
        <f t="shared" si="8"/>
        <v>100</v>
      </c>
      <c r="AS57" s="52"/>
      <c r="AT57" s="52"/>
      <c r="AU57" s="52"/>
    </row>
    <row r="58" spans="1:47" s="44" customFormat="1" ht="31.5">
      <c r="A58" s="55">
        <v>27</v>
      </c>
      <c r="B58" s="33" t="s">
        <v>81</v>
      </c>
      <c r="C58" s="47">
        <v>0.035</v>
      </c>
      <c r="D58" s="47">
        <v>0.035</v>
      </c>
      <c r="E58" s="21"/>
      <c r="F58" s="35"/>
      <c r="G58" s="27"/>
      <c r="H58" s="48"/>
      <c r="I58" s="48"/>
      <c r="J58" s="36"/>
      <c r="K58" s="37"/>
      <c r="L58" s="37"/>
      <c r="M58" s="48"/>
      <c r="N58" s="48"/>
      <c r="O58" s="36"/>
      <c r="P58" s="37"/>
      <c r="Q58" s="37"/>
      <c r="R58" s="48"/>
      <c r="S58" s="48"/>
      <c r="T58" s="36"/>
      <c r="U58" s="38"/>
      <c r="V58" s="38"/>
      <c r="W58" s="21">
        <f t="shared" si="10"/>
        <v>0.035</v>
      </c>
      <c r="X58" s="53"/>
      <c r="Y58" s="35"/>
      <c r="Z58" s="38"/>
      <c r="AA58" s="48"/>
      <c r="AB58" s="48"/>
      <c r="AC58" s="49"/>
      <c r="AD58" s="49"/>
      <c r="AE58" s="21"/>
      <c r="AF58" s="50"/>
      <c r="AG58" s="40"/>
      <c r="AH58" s="41"/>
      <c r="AI58" s="41"/>
      <c r="AJ58" s="41"/>
      <c r="AK58" s="51"/>
      <c r="AL58" s="51"/>
      <c r="AM58" s="21"/>
      <c r="AN58" s="51"/>
      <c r="AO58" s="51"/>
      <c r="AP58" s="21">
        <f t="shared" si="6"/>
        <v>-0.035</v>
      </c>
      <c r="AQ58" s="21">
        <f t="shared" si="7"/>
        <v>-0.035</v>
      </c>
      <c r="AR58" s="36">
        <f t="shared" si="8"/>
        <v>100</v>
      </c>
      <c r="AS58" s="52"/>
      <c r="AT58" s="52"/>
      <c r="AU58" s="52"/>
    </row>
    <row r="59" spans="1:47" s="44" customFormat="1" ht="110.25">
      <c r="A59" s="55">
        <v>28</v>
      </c>
      <c r="B59" s="33" t="s">
        <v>82</v>
      </c>
      <c r="C59" s="47">
        <v>0.02</v>
      </c>
      <c r="D59" s="47">
        <v>0.02</v>
      </c>
      <c r="E59" s="21"/>
      <c r="F59" s="35"/>
      <c r="G59" s="27"/>
      <c r="H59" s="48"/>
      <c r="I59" s="48"/>
      <c r="J59" s="36"/>
      <c r="K59" s="37"/>
      <c r="L59" s="37"/>
      <c r="M59" s="48"/>
      <c r="N59" s="48"/>
      <c r="O59" s="36"/>
      <c r="P59" s="37"/>
      <c r="Q59" s="37"/>
      <c r="R59" s="48"/>
      <c r="S59" s="48"/>
      <c r="T59" s="36"/>
      <c r="U59" s="38"/>
      <c r="V59" s="38"/>
      <c r="W59" s="21">
        <f t="shared" si="10"/>
        <v>0.02</v>
      </c>
      <c r="X59" s="53"/>
      <c r="Y59" s="35"/>
      <c r="Z59" s="38"/>
      <c r="AA59" s="48"/>
      <c r="AB59" s="48"/>
      <c r="AC59" s="49"/>
      <c r="AD59" s="49"/>
      <c r="AE59" s="21"/>
      <c r="AF59" s="50"/>
      <c r="AG59" s="40"/>
      <c r="AH59" s="41"/>
      <c r="AI59" s="41"/>
      <c r="AJ59" s="41"/>
      <c r="AK59" s="51"/>
      <c r="AL59" s="51"/>
      <c r="AM59" s="21"/>
      <c r="AN59" s="51"/>
      <c r="AO59" s="51"/>
      <c r="AP59" s="21">
        <f t="shared" si="6"/>
        <v>-0.02</v>
      </c>
      <c r="AQ59" s="21">
        <f t="shared" si="7"/>
        <v>-0.02</v>
      </c>
      <c r="AR59" s="36">
        <f t="shared" si="8"/>
        <v>100</v>
      </c>
      <c r="AS59" s="52"/>
      <c r="AT59" s="52"/>
      <c r="AU59" s="52"/>
    </row>
    <row r="60" spans="1:47" s="44" customFormat="1" ht="63">
      <c r="A60" s="55">
        <v>29</v>
      </c>
      <c r="B60" s="33" t="s">
        <v>83</v>
      </c>
      <c r="C60" s="47">
        <v>0.0354</v>
      </c>
      <c r="D60" s="47">
        <v>0.0354</v>
      </c>
      <c r="E60" s="21"/>
      <c r="F60" s="35"/>
      <c r="G60" s="27"/>
      <c r="H60" s="48"/>
      <c r="I60" s="48"/>
      <c r="J60" s="36"/>
      <c r="K60" s="37"/>
      <c r="L60" s="37"/>
      <c r="M60" s="48"/>
      <c r="N60" s="48"/>
      <c r="O60" s="36"/>
      <c r="P60" s="37"/>
      <c r="Q60" s="37"/>
      <c r="R60" s="48"/>
      <c r="S60" s="48"/>
      <c r="T60" s="36"/>
      <c r="U60" s="38"/>
      <c r="V60" s="38"/>
      <c r="W60" s="21">
        <f t="shared" si="10"/>
        <v>0.0354</v>
      </c>
      <c r="X60" s="53"/>
      <c r="Y60" s="35"/>
      <c r="Z60" s="38"/>
      <c r="AA60" s="48"/>
      <c r="AB60" s="48"/>
      <c r="AC60" s="49"/>
      <c r="AD60" s="49"/>
      <c r="AE60" s="21"/>
      <c r="AF60" s="50"/>
      <c r="AG60" s="40"/>
      <c r="AH60" s="41"/>
      <c r="AI60" s="41"/>
      <c r="AJ60" s="41"/>
      <c r="AK60" s="51"/>
      <c r="AL60" s="51"/>
      <c r="AM60" s="21"/>
      <c r="AN60" s="51"/>
      <c r="AO60" s="51"/>
      <c r="AP60" s="21">
        <f t="shared" si="6"/>
        <v>-0.0354</v>
      </c>
      <c r="AQ60" s="21">
        <f t="shared" si="7"/>
        <v>-0.0354</v>
      </c>
      <c r="AR60" s="36">
        <f t="shared" si="8"/>
        <v>100</v>
      </c>
      <c r="AS60" s="52"/>
      <c r="AT60" s="52"/>
      <c r="AU60" s="52"/>
    </row>
    <row r="61" spans="1:47" ht="18.75">
      <c r="A61" s="54"/>
      <c r="B61" s="75" t="s">
        <v>84</v>
      </c>
      <c r="C61" s="26"/>
      <c r="D61" s="26"/>
      <c r="E61" s="21">
        <f t="shared" si="0"/>
        <v>46.75503295</v>
      </c>
      <c r="F61" s="21"/>
      <c r="G61" s="27">
        <f t="shared" si="2"/>
        <v>28.675527849999998</v>
      </c>
      <c r="H61" s="21"/>
      <c r="I61" s="21">
        <f>SUM(I62:I78)</f>
        <v>21.20477785</v>
      </c>
      <c r="J61" s="28"/>
      <c r="K61" s="27">
        <f>SUM(K62:K78)</f>
        <v>18.38177785</v>
      </c>
      <c r="L61" s="27">
        <f>SUM(L62:L78)</f>
        <v>2.8229999999999995</v>
      </c>
      <c r="M61" s="21"/>
      <c r="N61" s="21">
        <f>SUM(N62:O78)</f>
        <v>7.51943</v>
      </c>
      <c r="O61" s="28"/>
      <c r="P61" s="27">
        <f>SUM(P62:P78)</f>
        <v>5.06743</v>
      </c>
      <c r="Q61" s="27">
        <f>SUM(Q62:Q78)</f>
        <v>2.452</v>
      </c>
      <c r="R61" s="21"/>
      <c r="S61" s="21">
        <f>SUM(S62:S78)</f>
        <v>7.8438251</v>
      </c>
      <c r="T61" s="28"/>
      <c r="U61" s="27">
        <f>SUM(U62:U78)</f>
        <v>3.668</v>
      </c>
      <c r="V61" s="27">
        <f>SUM(V62:V78)</f>
        <v>4.176</v>
      </c>
      <c r="W61" s="21"/>
      <c r="X61" s="21">
        <f>SUM(X62:X78)</f>
        <v>10.187000000000001</v>
      </c>
      <c r="Y61" s="21">
        <f>AA61+AB61</f>
        <v>10.29009596</v>
      </c>
      <c r="Z61" s="27">
        <f>SUM(Z62:Z78)</f>
        <v>12.358999999999998</v>
      </c>
      <c r="AA61" s="21">
        <f>SUM(AA62:AA67)</f>
        <v>1.8586715899999997</v>
      </c>
      <c r="AB61" s="21">
        <f>SUM(AB62:AB76)</f>
        <v>8.43142437</v>
      </c>
      <c r="AC61" s="27">
        <f>SUM(AC62:AC78)</f>
        <v>1.55832</v>
      </c>
      <c r="AD61" s="27">
        <f>SUM(AD62:AD78)</f>
        <v>8.62868</v>
      </c>
      <c r="AE61" s="21">
        <f>SUM(AE62:AE78)</f>
        <v>21.503356000000004</v>
      </c>
      <c r="AF61" s="21">
        <f>SUM(AF62:AF78)</f>
        <v>8.518</v>
      </c>
      <c r="AG61" s="28"/>
      <c r="AH61" s="21">
        <f>SUM(AH62:AH78)</f>
        <v>7.107356</v>
      </c>
      <c r="AI61" s="21">
        <f>AJ61+AN61</f>
        <v>9.50035811</v>
      </c>
      <c r="AJ61" s="21">
        <f>AK61+AL61</f>
        <v>3.1443581099999998</v>
      </c>
      <c r="AK61" s="21">
        <f>SUM(AK62:AK67)</f>
        <v>1.555</v>
      </c>
      <c r="AL61" s="21">
        <f>SUM(AL62:AL73)</f>
        <v>1.58935811</v>
      </c>
      <c r="AM61" s="21">
        <f>SUM(AM62:AM78)</f>
        <v>19.80751065</v>
      </c>
      <c r="AN61" s="21">
        <f>SUM(AN62:AN76)</f>
        <v>6.356</v>
      </c>
      <c r="AO61" s="21">
        <f>SUM(AO62:AO78)</f>
        <v>7.9830000000000005</v>
      </c>
      <c r="AP61" s="21">
        <f t="shared" si="6"/>
        <v>46.75503295</v>
      </c>
      <c r="AQ61" s="21">
        <f t="shared" si="7"/>
        <v>46.75503295</v>
      </c>
      <c r="AR61" s="28"/>
      <c r="AS61" s="26"/>
      <c r="AT61" s="26"/>
      <c r="AU61" s="26"/>
    </row>
    <row r="62" spans="1:47" ht="18.75" hidden="1" outlineLevel="2">
      <c r="A62" s="54"/>
      <c r="B62" s="75" t="s">
        <v>85</v>
      </c>
      <c r="C62" s="26"/>
      <c r="D62" s="26"/>
      <c r="E62" s="21">
        <f t="shared" si="0"/>
        <v>15.1907</v>
      </c>
      <c r="F62" s="21"/>
      <c r="G62" s="27">
        <f t="shared" si="2"/>
        <v>15.1907</v>
      </c>
      <c r="H62" s="21"/>
      <c r="I62" s="21">
        <f>2.86126247+6.82943753+1.5</f>
        <v>11.1907</v>
      </c>
      <c r="J62" s="21"/>
      <c r="K62" s="27">
        <f>I62</f>
        <v>11.1907</v>
      </c>
      <c r="L62" s="27"/>
      <c r="M62" s="21"/>
      <c r="N62" s="21">
        <v>4</v>
      </c>
      <c r="O62" s="21"/>
      <c r="P62" s="27">
        <f>N62</f>
        <v>4</v>
      </c>
      <c r="Q62" s="27"/>
      <c r="R62" s="21"/>
      <c r="S62" s="21"/>
      <c r="T62" s="21"/>
      <c r="U62" s="27"/>
      <c r="V62" s="27"/>
      <c r="W62" s="21"/>
      <c r="X62" s="21"/>
      <c r="Y62" s="21"/>
      <c r="Z62" s="27"/>
      <c r="AA62" s="21"/>
      <c r="AB62" s="21"/>
      <c r="AC62" s="27"/>
      <c r="AD62" s="27"/>
      <c r="AE62" s="21"/>
      <c r="AF62" s="21"/>
      <c r="AG62" s="21"/>
      <c r="AH62" s="21"/>
      <c r="AI62" s="21"/>
      <c r="AJ62" s="18"/>
      <c r="AK62" s="21"/>
      <c r="AL62" s="21"/>
      <c r="AM62" s="21"/>
      <c r="AN62" s="21"/>
      <c r="AO62" s="21"/>
      <c r="AP62" s="21">
        <f t="shared" si="6"/>
        <v>15.1907</v>
      </c>
      <c r="AQ62" s="21">
        <f t="shared" si="7"/>
        <v>15.1907</v>
      </c>
      <c r="AR62" s="28"/>
      <c r="AS62" s="76"/>
      <c r="AT62" s="76"/>
      <c r="AU62" s="76"/>
    </row>
    <row r="63" spans="1:47" ht="18.75" hidden="1" outlineLevel="2">
      <c r="A63" s="54"/>
      <c r="B63" s="75" t="s">
        <v>86</v>
      </c>
      <c r="C63" s="26"/>
      <c r="D63" s="26"/>
      <c r="E63" s="21">
        <f t="shared" si="0"/>
        <v>0.53231064</v>
      </c>
      <c r="F63" s="21"/>
      <c r="G63" s="27">
        <f t="shared" si="2"/>
        <v>0.53231064</v>
      </c>
      <c r="H63" s="21"/>
      <c r="I63" s="21">
        <v>0.53231064</v>
      </c>
      <c r="J63" s="21"/>
      <c r="K63" s="27">
        <f>I63</f>
        <v>0.53231064</v>
      </c>
      <c r="L63" s="27"/>
      <c r="M63" s="21"/>
      <c r="N63" s="21"/>
      <c r="O63" s="21"/>
      <c r="P63" s="27"/>
      <c r="Q63" s="27"/>
      <c r="R63" s="21"/>
      <c r="S63" s="21"/>
      <c r="T63" s="21"/>
      <c r="U63" s="27"/>
      <c r="V63" s="27"/>
      <c r="W63" s="21"/>
      <c r="X63" s="21"/>
      <c r="Y63" s="21"/>
      <c r="Z63" s="27"/>
      <c r="AA63" s="21"/>
      <c r="AB63" s="21"/>
      <c r="AC63" s="27"/>
      <c r="AD63" s="27"/>
      <c r="AE63" s="21"/>
      <c r="AF63" s="21"/>
      <c r="AG63" s="21"/>
      <c r="AH63" s="21"/>
      <c r="AI63" s="21"/>
      <c r="AJ63" s="18"/>
      <c r="AK63" s="21"/>
      <c r="AL63" s="21"/>
      <c r="AM63" s="21"/>
      <c r="AN63" s="21"/>
      <c r="AO63" s="21"/>
      <c r="AP63" s="21">
        <f t="shared" si="6"/>
        <v>0.53231064</v>
      </c>
      <c r="AQ63" s="21">
        <f t="shared" si="7"/>
        <v>0.53231064</v>
      </c>
      <c r="AR63" s="28"/>
      <c r="AS63" s="76"/>
      <c r="AT63" s="76"/>
      <c r="AU63" s="76"/>
    </row>
    <row r="64" spans="1:47" s="44" customFormat="1" ht="19.5" hidden="1" outlineLevel="2">
      <c r="A64" s="77"/>
      <c r="B64" s="78" t="s">
        <v>87</v>
      </c>
      <c r="C64" s="42"/>
      <c r="D64" s="34"/>
      <c r="E64" s="21"/>
      <c r="F64" s="35"/>
      <c r="G64" s="27"/>
      <c r="H64" s="35"/>
      <c r="I64" s="35"/>
      <c r="J64" s="35"/>
      <c r="K64" s="38">
        <f>I64</f>
        <v>0</v>
      </c>
      <c r="L64" s="38"/>
      <c r="M64" s="35"/>
      <c r="N64" s="35"/>
      <c r="O64" s="35"/>
      <c r="P64" s="38"/>
      <c r="Q64" s="38"/>
      <c r="R64" s="35"/>
      <c r="S64" s="35"/>
      <c r="T64" s="35"/>
      <c r="U64" s="38"/>
      <c r="V64" s="38"/>
      <c r="W64" s="35"/>
      <c r="X64" s="39"/>
      <c r="Y64" s="35">
        <f>AA64+AB64</f>
        <v>0.57022432</v>
      </c>
      <c r="Z64" s="38"/>
      <c r="AA64" s="35">
        <v>0.01318431</v>
      </c>
      <c r="AB64" s="35">
        <v>0.55704001</v>
      </c>
      <c r="AC64" s="38"/>
      <c r="AD64" s="38"/>
      <c r="AE64" s="21"/>
      <c r="AF64" s="18"/>
      <c r="AG64" s="41"/>
      <c r="AH64" s="41"/>
      <c r="AI64" s="41"/>
      <c r="AJ64" s="41">
        <f>AK64+AL64</f>
        <v>1.128</v>
      </c>
      <c r="AK64" s="41"/>
      <c r="AL64" s="41">
        <v>1.128</v>
      </c>
      <c r="AM64" s="21"/>
      <c r="AN64" s="41"/>
      <c r="AO64" s="41"/>
      <c r="AP64" s="21">
        <f t="shared" si="6"/>
        <v>0</v>
      </c>
      <c r="AQ64" s="21">
        <f t="shared" si="7"/>
        <v>0</v>
      </c>
      <c r="AR64" s="36"/>
      <c r="AS64" s="79"/>
      <c r="AT64" s="79"/>
      <c r="AU64" s="79"/>
    </row>
    <row r="65" spans="1:47" ht="18.75" hidden="1" outlineLevel="2">
      <c r="A65" s="54"/>
      <c r="B65" s="75" t="s">
        <v>88</v>
      </c>
      <c r="C65" s="26"/>
      <c r="D65" s="26"/>
      <c r="E65" s="21">
        <f t="shared" si="0"/>
        <v>0.00578088</v>
      </c>
      <c r="F65" s="21"/>
      <c r="G65" s="27">
        <f t="shared" si="2"/>
        <v>0.00578088</v>
      </c>
      <c r="H65" s="21"/>
      <c r="I65" s="21">
        <v>0.00578088</v>
      </c>
      <c r="J65" s="21"/>
      <c r="K65" s="27">
        <f>I65</f>
        <v>0.00578088</v>
      </c>
      <c r="L65" s="27"/>
      <c r="M65" s="21"/>
      <c r="N65" s="21"/>
      <c r="O65" s="21"/>
      <c r="P65" s="27"/>
      <c r="Q65" s="27"/>
      <c r="R65" s="21"/>
      <c r="S65" s="21"/>
      <c r="T65" s="21"/>
      <c r="U65" s="27"/>
      <c r="V65" s="27"/>
      <c r="W65" s="21"/>
      <c r="X65" s="21"/>
      <c r="Y65" s="21"/>
      <c r="Z65" s="27"/>
      <c r="AA65" s="80"/>
      <c r="AB65" s="80"/>
      <c r="AC65" s="81"/>
      <c r="AD65" s="81"/>
      <c r="AE65" s="21"/>
      <c r="AF65" s="80"/>
      <c r="AG65" s="80"/>
      <c r="AH65" s="80"/>
      <c r="AI65" s="21"/>
      <c r="AJ65" s="18"/>
      <c r="AK65" s="21"/>
      <c r="AL65" s="80"/>
      <c r="AM65" s="21"/>
      <c r="AN65" s="80"/>
      <c r="AO65" s="80"/>
      <c r="AP65" s="21">
        <f t="shared" si="6"/>
        <v>0.00578088</v>
      </c>
      <c r="AQ65" s="21">
        <f t="shared" si="7"/>
        <v>0.00578088</v>
      </c>
      <c r="AR65" s="28"/>
      <c r="AS65" s="76"/>
      <c r="AT65" s="76"/>
      <c r="AU65" s="76"/>
    </row>
    <row r="66" spans="1:47" ht="37.5" hidden="1" outlineLevel="2">
      <c r="A66" s="54"/>
      <c r="B66" s="75" t="s">
        <v>89</v>
      </c>
      <c r="C66" s="26"/>
      <c r="D66" s="26"/>
      <c r="E66" s="21">
        <f t="shared" si="0"/>
        <v>0.342675</v>
      </c>
      <c r="F66" s="21"/>
      <c r="G66" s="27">
        <f t="shared" si="2"/>
        <v>0.342675</v>
      </c>
      <c r="H66" s="21"/>
      <c r="I66" s="21">
        <v>0.342675</v>
      </c>
      <c r="J66" s="21"/>
      <c r="K66" s="27">
        <f>I66</f>
        <v>0.342675</v>
      </c>
      <c r="L66" s="27"/>
      <c r="M66" s="21"/>
      <c r="N66" s="21"/>
      <c r="O66" s="21"/>
      <c r="P66" s="27"/>
      <c r="Q66" s="27"/>
      <c r="R66" s="21"/>
      <c r="S66" s="21"/>
      <c r="T66" s="21"/>
      <c r="U66" s="27"/>
      <c r="V66" s="27"/>
      <c r="W66" s="21"/>
      <c r="X66" s="21"/>
      <c r="Y66" s="21">
        <f>AA66+AB66</f>
        <v>0.29040254</v>
      </c>
      <c r="Z66" s="27">
        <v>0.29</v>
      </c>
      <c r="AA66" s="21">
        <v>0.29040254</v>
      </c>
      <c r="AB66" s="21"/>
      <c r="AC66" s="27"/>
      <c r="AD66" s="27"/>
      <c r="AE66" s="21">
        <f>Z66+AH66</f>
        <v>0.29</v>
      </c>
      <c r="AF66" s="21"/>
      <c r="AG66" s="21"/>
      <c r="AH66" s="21"/>
      <c r="AI66" s="21"/>
      <c r="AJ66" s="18"/>
      <c r="AK66" s="21"/>
      <c r="AL66" s="21"/>
      <c r="AM66" s="21"/>
      <c r="AN66" s="21"/>
      <c r="AO66" s="21"/>
      <c r="AP66" s="21">
        <f t="shared" si="6"/>
        <v>0.342675</v>
      </c>
      <c r="AQ66" s="21">
        <f t="shared" si="7"/>
        <v>0.342675</v>
      </c>
      <c r="AR66" s="28"/>
      <c r="AS66" s="76"/>
      <c r="AT66" s="76"/>
      <c r="AU66" s="76"/>
    </row>
    <row r="67" spans="1:47" ht="18.75" hidden="1" outlineLevel="2">
      <c r="A67" s="54"/>
      <c r="B67" s="75" t="s">
        <v>90</v>
      </c>
      <c r="C67" s="26"/>
      <c r="D67" s="26"/>
      <c r="E67" s="21"/>
      <c r="F67" s="21"/>
      <c r="G67" s="27"/>
      <c r="H67" s="21"/>
      <c r="I67" s="80"/>
      <c r="J67" s="80"/>
      <c r="K67" s="81"/>
      <c r="L67" s="81"/>
      <c r="M67" s="21"/>
      <c r="N67" s="21"/>
      <c r="O67" s="21"/>
      <c r="P67" s="27"/>
      <c r="Q67" s="27"/>
      <c r="R67" s="21"/>
      <c r="S67" s="21"/>
      <c r="T67" s="21"/>
      <c r="U67" s="27"/>
      <c r="V67" s="27"/>
      <c r="W67" s="21"/>
      <c r="X67" s="21"/>
      <c r="Y67" s="21">
        <f>AA67+AB67</f>
        <v>1.5550847399999999</v>
      </c>
      <c r="Z67" s="27">
        <v>1.555</v>
      </c>
      <c r="AA67" s="21">
        <f>0.83898305+0.71610169</f>
        <v>1.5550847399999999</v>
      </c>
      <c r="AB67" s="21"/>
      <c r="AC67" s="27"/>
      <c r="AD67" s="27"/>
      <c r="AE67" s="21">
        <f>Z67+AH67</f>
        <v>1.555</v>
      </c>
      <c r="AF67" s="21"/>
      <c r="AG67" s="21"/>
      <c r="AH67" s="21"/>
      <c r="AI67" s="21">
        <f>AJ67+AN67</f>
        <v>1.555</v>
      </c>
      <c r="AJ67" s="18">
        <f>AK67+AL67</f>
        <v>1.555</v>
      </c>
      <c r="AK67" s="21">
        <v>1.555</v>
      </c>
      <c r="AL67" s="21"/>
      <c r="AM67" s="21">
        <f t="shared" si="5"/>
        <v>1.555</v>
      </c>
      <c r="AN67" s="21"/>
      <c r="AO67" s="21"/>
      <c r="AP67" s="21"/>
      <c r="AQ67" s="21"/>
      <c r="AR67" s="28"/>
      <c r="AS67" s="76"/>
      <c r="AT67" s="76"/>
      <c r="AU67" s="76"/>
    </row>
    <row r="68" spans="1:47" ht="18.75" hidden="1" outlineLevel="2">
      <c r="A68" s="54"/>
      <c r="B68" s="75" t="s">
        <v>91</v>
      </c>
      <c r="C68" s="82"/>
      <c r="D68" s="26"/>
      <c r="E68" s="21">
        <f t="shared" si="0"/>
        <v>6.31031133</v>
      </c>
      <c r="F68" s="21"/>
      <c r="G68" s="27">
        <f t="shared" si="2"/>
        <v>6.31031133</v>
      </c>
      <c r="H68" s="21"/>
      <c r="I68" s="21">
        <v>6.31031133</v>
      </c>
      <c r="J68" s="21"/>
      <c r="K68" s="27">
        <f>I68</f>
        <v>6.31031133</v>
      </c>
      <c r="L68" s="27"/>
      <c r="M68" s="21"/>
      <c r="N68" s="21"/>
      <c r="O68" s="21"/>
      <c r="P68" s="27"/>
      <c r="Q68" s="27"/>
      <c r="R68" s="21"/>
      <c r="S68" s="21"/>
      <c r="T68" s="21"/>
      <c r="U68" s="27"/>
      <c r="V68" s="27"/>
      <c r="W68" s="21"/>
      <c r="X68" s="21"/>
      <c r="Y68" s="21"/>
      <c r="Z68" s="27"/>
      <c r="AA68" s="80"/>
      <c r="AB68" s="80"/>
      <c r="AC68" s="81"/>
      <c r="AD68" s="81"/>
      <c r="AE68" s="21"/>
      <c r="AF68" s="80"/>
      <c r="AG68" s="80"/>
      <c r="AH68" s="80"/>
      <c r="AI68" s="21"/>
      <c r="AJ68" s="18"/>
      <c r="AK68" s="80"/>
      <c r="AL68" s="80"/>
      <c r="AM68" s="21"/>
      <c r="AN68" s="80"/>
      <c r="AO68" s="80"/>
      <c r="AP68" s="21">
        <f t="shared" si="6"/>
        <v>6.31031133</v>
      </c>
      <c r="AQ68" s="21">
        <f t="shared" si="7"/>
        <v>6.31031133</v>
      </c>
      <c r="AR68" s="83"/>
      <c r="AS68" s="76"/>
      <c r="AT68" s="76"/>
      <c r="AU68" s="76"/>
    </row>
    <row r="69" spans="1:47" s="44" customFormat="1" ht="19.5" hidden="1" outlineLevel="2">
      <c r="A69" s="77"/>
      <c r="B69" s="78" t="s">
        <v>92</v>
      </c>
      <c r="C69" s="42"/>
      <c r="D69" s="34"/>
      <c r="E69" s="21"/>
      <c r="F69" s="35"/>
      <c r="G69" s="27"/>
      <c r="H69" s="35"/>
      <c r="I69" s="35"/>
      <c r="J69" s="35"/>
      <c r="K69" s="38"/>
      <c r="L69" s="38"/>
      <c r="M69" s="35"/>
      <c r="N69" s="35"/>
      <c r="O69" s="35"/>
      <c r="P69" s="38">
        <f>N69</f>
        <v>0</v>
      </c>
      <c r="Q69" s="38"/>
      <c r="R69" s="35"/>
      <c r="S69" s="35"/>
      <c r="T69" s="35"/>
      <c r="U69" s="38"/>
      <c r="V69" s="38"/>
      <c r="W69" s="35"/>
      <c r="X69" s="39"/>
      <c r="Y69" s="35"/>
      <c r="Z69" s="38"/>
      <c r="AA69" s="84"/>
      <c r="AB69" s="84"/>
      <c r="AC69" s="85"/>
      <c r="AD69" s="85"/>
      <c r="AE69" s="21"/>
      <c r="AF69" s="18"/>
      <c r="AG69" s="41"/>
      <c r="AH69" s="41"/>
      <c r="AI69" s="41"/>
      <c r="AJ69" s="41"/>
      <c r="AK69" s="86"/>
      <c r="AL69" s="86"/>
      <c r="AM69" s="21"/>
      <c r="AN69" s="41"/>
      <c r="AO69" s="41"/>
      <c r="AP69" s="21">
        <f t="shared" si="6"/>
        <v>0</v>
      </c>
      <c r="AQ69" s="21">
        <f t="shared" si="7"/>
        <v>0</v>
      </c>
      <c r="AR69" s="87"/>
      <c r="AS69" s="79"/>
      <c r="AT69" s="79"/>
      <c r="AU69" s="79"/>
    </row>
    <row r="70" spans="1:47" ht="18.75" hidden="1" outlineLevel="2">
      <c r="A70" s="54"/>
      <c r="B70" s="75" t="s">
        <v>93</v>
      </c>
      <c r="C70" s="82"/>
      <c r="D70" s="26"/>
      <c r="E70" s="21"/>
      <c r="F70" s="21"/>
      <c r="G70" s="27"/>
      <c r="H70" s="21"/>
      <c r="I70" s="21"/>
      <c r="J70" s="21"/>
      <c r="K70" s="27"/>
      <c r="L70" s="27"/>
      <c r="M70" s="21"/>
      <c r="N70" s="21"/>
      <c r="O70" s="21"/>
      <c r="P70" s="27"/>
      <c r="Q70" s="27"/>
      <c r="R70" s="21"/>
      <c r="S70" s="21"/>
      <c r="T70" s="21"/>
      <c r="U70" s="27"/>
      <c r="V70" s="27"/>
      <c r="W70" s="21"/>
      <c r="X70" s="21"/>
      <c r="Y70" s="21">
        <f>AA70+AB70</f>
        <v>0.0296369</v>
      </c>
      <c r="Z70" s="27">
        <v>0.023</v>
      </c>
      <c r="AA70" s="80"/>
      <c r="AB70" s="21">
        <v>0.0296369</v>
      </c>
      <c r="AC70" s="27"/>
      <c r="AD70" s="27"/>
      <c r="AE70" s="21">
        <f>Z70+AH70</f>
        <v>0.023</v>
      </c>
      <c r="AF70" s="21"/>
      <c r="AG70" s="21"/>
      <c r="AH70" s="21"/>
      <c r="AI70" s="21">
        <f>AJ70+AN70</f>
        <v>0.15961065</v>
      </c>
      <c r="AJ70" s="18">
        <f>AK70+AL70</f>
        <v>0.15961065</v>
      </c>
      <c r="AK70" s="80"/>
      <c r="AL70" s="21">
        <v>0.15961065</v>
      </c>
      <c r="AM70" s="21">
        <f t="shared" si="5"/>
        <v>0.15961065</v>
      </c>
      <c r="AN70" s="21"/>
      <c r="AO70" s="21"/>
      <c r="AP70" s="21"/>
      <c r="AQ70" s="21"/>
      <c r="AR70" s="83"/>
      <c r="AS70" s="76"/>
      <c r="AT70" s="76"/>
      <c r="AU70" s="76"/>
    </row>
    <row r="71" spans="1:47" ht="37.5" hidden="1" outlineLevel="2">
      <c r="A71" s="54"/>
      <c r="B71" s="75" t="s">
        <v>94</v>
      </c>
      <c r="C71" s="82"/>
      <c r="D71" s="26"/>
      <c r="E71" s="21"/>
      <c r="F71" s="21"/>
      <c r="G71" s="27"/>
      <c r="H71" s="21"/>
      <c r="I71" s="21"/>
      <c r="J71" s="21"/>
      <c r="K71" s="27"/>
      <c r="L71" s="27"/>
      <c r="M71" s="21"/>
      <c r="N71" s="21"/>
      <c r="O71" s="21"/>
      <c r="P71" s="27"/>
      <c r="Q71" s="27"/>
      <c r="R71" s="21"/>
      <c r="S71" s="21"/>
      <c r="T71" s="21"/>
      <c r="U71" s="27"/>
      <c r="V71" s="27"/>
      <c r="W71" s="21"/>
      <c r="X71" s="21"/>
      <c r="Y71" s="21">
        <f>AA71+AB71</f>
        <v>0.2509</v>
      </c>
      <c r="Z71" s="27">
        <v>0.251</v>
      </c>
      <c r="AA71" s="80"/>
      <c r="AB71" s="21">
        <v>0.2509</v>
      </c>
      <c r="AC71" s="27"/>
      <c r="AD71" s="27"/>
      <c r="AE71" s="21">
        <f>Z71+AH71</f>
        <v>2.093</v>
      </c>
      <c r="AF71" s="21"/>
      <c r="AG71" s="21"/>
      <c r="AH71" s="21">
        <f>0.573+1.269</f>
        <v>1.8419999999999999</v>
      </c>
      <c r="AI71" s="21">
        <f>AJ71+AN71</f>
        <v>0.2509</v>
      </c>
      <c r="AJ71" s="18">
        <f>AK71+AL71</f>
        <v>0.2509</v>
      </c>
      <c r="AK71" s="80"/>
      <c r="AL71" s="21">
        <v>0.2509</v>
      </c>
      <c r="AM71" s="21">
        <f t="shared" si="5"/>
        <v>0.2509</v>
      </c>
      <c r="AN71" s="21"/>
      <c r="AO71" s="21"/>
      <c r="AP71" s="21"/>
      <c r="AQ71" s="21"/>
      <c r="AR71" s="83"/>
      <c r="AS71" s="76"/>
      <c r="AT71" s="76"/>
      <c r="AU71" s="76"/>
    </row>
    <row r="72" spans="1:47" ht="37.5" hidden="1" outlineLevel="2">
      <c r="A72" s="54"/>
      <c r="B72" s="75" t="s">
        <v>95</v>
      </c>
      <c r="C72" s="82"/>
      <c r="D72" s="26"/>
      <c r="E72" s="21">
        <f t="shared" si="0"/>
        <v>7.5</v>
      </c>
      <c r="F72" s="21"/>
      <c r="G72" s="27">
        <f t="shared" si="2"/>
        <v>3.80832</v>
      </c>
      <c r="H72" s="21"/>
      <c r="I72" s="21"/>
      <c r="J72" s="21"/>
      <c r="K72" s="27"/>
      <c r="L72" s="27"/>
      <c r="M72" s="21"/>
      <c r="N72" s="21"/>
      <c r="O72" s="21"/>
      <c r="P72" s="27"/>
      <c r="Q72" s="27"/>
      <c r="R72" s="21"/>
      <c r="S72" s="21">
        <v>2.25</v>
      </c>
      <c r="T72" s="21"/>
      <c r="U72" s="27">
        <f>S72</f>
        <v>2.25</v>
      </c>
      <c r="V72" s="27"/>
      <c r="W72" s="21"/>
      <c r="X72" s="21">
        <v>5.25</v>
      </c>
      <c r="Y72" s="21"/>
      <c r="Z72" s="27">
        <v>6.356</v>
      </c>
      <c r="AA72" s="80"/>
      <c r="AB72" s="21"/>
      <c r="AC72" s="27">
        <f>X72-3.87168+0.18</f>
        <v>1.55832</v>
      </c>
      <c r="AD72" s="27">
        <f>3.87168-0.18</f>
        <v>3.69168</v>
      </c>
      <c r="AE72" s="21">
        <f>Z72+AH72</f>
        <v>6.356</v>
      </c>
      <c r="AF72" s="21">
        <v>6.356</v>
      </c>
      <c r="AG72" s="21"/>
      <c r="AH72" s="21"/>
      <c r="AI72" s="21">
        <v>6.356</v>
      </c>
      <c r="AJ72" s="18"/>
      <c r="AK72" s="80"/>
      <c r="AL72" s="21"/>
      <c r="AM72" s="21">
        <f t="shared" si="5"/>
        <v>6.356</v>
      </c>
      <c r="AN72" s="21">
        <v>6.356</v>
      </c>
      <c r="AO72" s="21"/>
      <c r="AP72" s="21">
        <f t="shared" si="6"/>
        <v>7.5</v>
      </c>
      <c r="AQ72" s="21">
        <f t="shared" si="7"/>
        <v>7.5</v>
      </c>
      <c r="AR72" s="83"/>
      <c r="AS72" s="76"/>
      <c r="AT72" s="76"/>
      <c r="AU72" s="76"/>
    </row>
    <row r="73" spans="1:47" s="44" customFormat="1" ht="19.5" hidden="1" outlineLevel="2">
      <c r="A73" s="77"/>
      <c r="B73" s="78" t="s">
        <v>96</v>
      </c>
      <c r="C73" s="42"/>
      <c r="D73" s="34"/>
      <c r="E73" s="21"/>
      <c r="F73" s="35"/>
      <c r="G73" s="27"/>
      <c r="H73" s="35"/>
      <c r="I73" s="35"/>
      <c r="J73" s="35"/>
      <c r="K73" s="38"/>
      <c r="L73" s="38"/>
      <c r="M73" s="35"/>
      <c r="N73" s="35"/>
      <c r="O73" s="35"/>
      <c r="P73" s="38"/>
      <c r="Q73" s="38"/>
      <c r="R73" s="35"/>
      <c r="S73" s="35"/>
      <c r="T73" s="35"/>
      <c r="U73" s="38"/>
      <c r="V73" s="38"/>
      <c r="W73" s="35"/>
      <c r="X73" s="39"/>
      <c r="Y73" s="35">
        <f>AA73+AB73</f>
        <v>0.05084746</v>
      </c>
      <c r="Z73" s="38"/>
      <c r="AA73" s="84"/>
      <c r="AB73" s="35">
        <v>0.05084746</v>
      </c>
      <c r="AC73" s="38"/>
      <c r="AD73" s="38"/>
      <c r="AE73" s="21"/>
      <c r="AF73" s="18"/>
      <c r="AG73" s="41"/>
      <c r="AH73" s="41"/>
      <c r="AI73" s="41"/>
      <c r="AJ73" s="41">
        <f>AK73+AL73</f>
        <v>0.05084746</v>
      </c>
      <c r="AK73" s="86"/>
      <c r="AL73" s="41">
        <f>AB73</f>
        <v>0.05084746</v>
      </c>
      <c r="AM73" s="21"/>
      <c r="AN73" s="41"/>
      <c r="AO73" s="41"/>
      <c r="AP73" s="21"/>
      <c r="AQ73" s="21"/>
      <c r="AR73" s="87"/>
      <c r="AS73" s="79"/>
      <c r="AT73" s="79"/>
      <c r="AU73" s="79"/>
    </row>
    <row r="74" spans="1:47" ht="18.75" hidden="1" outlineLevel="2">
      <c r="A74" s="54"/>
      <c r="B74" s="75" t="s">
        <v>97</v>
      </c>
      <c r="C74" s="82"/>
      <c r="D74" s="26"/>
      <c r="E74" s="21"/>
      <c r="F74" s="21"/>
      <c r="G74" s="27"/>
      <c r="H74" s="21"/>
      <c r="I74" s="21"/>
      <c r="J74" s="21"/>
      <c r="K74" s="27"/>
      <c r="L74" s="27"/>
      <c r="M74" s="21"/>
      <c r="N74" s="21"/>
      <c r="O74" s="21"/>
      <c r="P74" s="27"/>
      <c r="Q74" s="27"/>
      <c r="R74" s="21"/>
      <c r="S74" s="21"/>
      <c r="T74" s="21"/>
      <c r="U74" s="27"/>
      <c r="V74" s="27"/>
      <c r="W74" s="21"/>
      <c r="X74" s="21"/>
      <c r="Y74" s="21">
        <f>AB74</f>
        <v>7.543</v>
      </c>
      <c r="Z74" s="27"/>
      <c r="AA74" s="80"/>
      <c r="AB74" s="21">
        <v>7.543</v>
      </c>
      <c r="AC74" s="27"/>
      <c r="AD74" s="27"/>
      <c r="AE74" s="21">
        <f>Z74+AH74</f>
        <v>0</v>
      </c>
      <c r="AF74" s="21"/>
      <c r="AG74" s="21"/>
      <c r="AH74" s="21"/>
      <c r="AI74" s="21"/>
      <c r="AJ74" s="18"/>
      <c r="AK74" s="80"/>
      <c r="AL74" s="21"/>
      <c r="AM74" s="21"/>
      <c r="AN74" s="21"/>
      <c r="AO74" s="21"/>
      <c r="AP74" s="21"/>
      <c r="AQ74" s="21"/>
      <c r="AR74" s="83"/>
      <c r="AS74" s="76"/>
      <c r="AT74" s="76"/>
      <c r="AU74" s="76"/>
    </row>
    <row r="75" spans="1:47" ht="18.75" hidden="1" outlineLevel="2">
      <c r="A75" s="54"/>
      <c r="B75" s="75" t="s">
        <v>98</v>
      </c>
      <c r="C75" s="82"/>
      <c r="D75" s="26"/>
      <c r="E75" s="21">
        <f t="shared" si="0"/>
        <v>0.1228251</v>
      </c>
      <c r="F75" s="21"/>
      <c r="G75" s="27"/>
      <c r="H75" s="21"/>
      <c r="I75" s="21"/>
      <c r="J75" s="21"/>
      <c r="K75" s="27"/>
      <c r="L75" s="27"/>
      <c r="M75" s="21"/>
      <c r="N75" s="21"/>
      <c r="O75" s="21"/>
      <c r="P75" s="27"/>
      <c r="Q75" s="27"/>
      <c r="R75" s="21"/>
      <c r="S75" s="21">
        <v>0.1228251</v>
      </c>
      <c r="T75" s="21"/>
      <c r="U75" s="27"/>
      <c r="V75" s="27">
        <v>0.123</v>
      </c>
      <c r="W75" s="21"/>
      <c r="X75" s="21"/>
      <c r="Y75" s="21"/>
      <c r="Z75" s="27"/>
      <c r="AA75" s="80"/>
      <c r="AB75" s="21"/>
      <c r="AC75" s="27"/>
      <c r="AD75" s="27"/>
      <c r="AE75" s="21"/>
      <c r="AF75" s="21"/>
      <c r="AG75" s="21"/>
      <c r="AH75" s="21"/>
      <c r="AI75" s="21"/>
      <c r="AJ75" s="18"/>
      <c r="AK75" s="80"/>
      <c r="AL75" s="21"/>
      <c r="AM75" s="21"/>
      <c r="AN75" s="21"/>
      <c r="AO75" s="21"/>
      <c r="AP75" s="21">
        <f t="shared" si="6"/>
        <v>0.1228251</v>
      </c>
      <c r="AQ75" s="21">
        <f t="shared" si="7"/>
        <v>0.1228251</v>
      </c>
      <c r="AR75" s="83"/>
      <c r="AS75" s="76"/>
      <c r="AT75" s="76"/>
      <c r="AU75" s="76"/>
    </row>
    <row r="76" spans="1:47" ht="18.75" hidden="1" outlineLevel="2">
      <c r="A76" s="54"/>
      <c r="B76" s="75" t="s">
        <v>99</v>
      </c>
      <c r="C76" s="82"/>
      <c r="D76" s="26"/>
      <c r="E76" s="21">
        <f t="shared" si="0"/>
        <v>0.25043</v>
      </c>
      <c r="F76" s="21"/>
      <c r="G76" s="27">
        <f t="shared" si="2"/>
        <v>0.25043</v>
      </c>
      <c r="H76" s="21"/>
      <c r="I76" s="21"/>
      <c r="J76" s="21"/>
      <c r="K76" s="27"/>
      <c r="L76" s="27"/>
      <c r="M76" s="21"/>
      <c r="N76" s="21">
        <f>0.19720908+0.05322092</f>
        <v>0.25043</v>
      </c>
      <c r="O76" s="21"/>
      <c r="P76" s="27">
        <f>N76</f>
        <v>0.25043</v>
      </c>
      <c r="Q76" s="27"/>
      <c r="R76" s="21"/>
      <c r="S76" s="21"/>
      <c r="T76" s="21"/>
      <c r="U76" s="27"/>
      <c r="V76" s="27"/>
      <c r="W76" s="21"/>
      <c r="X76" s="21"/>
      <c r="Y76" s="21"/>
      <c r="Z76" s="27"/>
      <c r="AA76" s="80"/>
      <c r="AB76" s="80"/>
      <c r="AC76" s="81"/>
      <c r="AD76" s="81"/>
      <c r="AE76" s="21"/>
      <c r="AF76" s="80"/>
      <c r="AG76" s="80"/>
      <c r="AH76" s="80"/>
      <c r="AI76" s="21"/>
      <c r="AJ76" s="18"/>
      <c r="AK76" s="80"/>
      <c r="AL76" s="80"/>
      <c r="AM76" s="21"/>
      <c r="AN76" s="80"/>
      <c r="AO76" s="80"/>
      <c r="AP76" s="21">
        <f t="shared" si="6"/>
        <v>0.25043</v>
      </c>
      <c r="AQ76" s="21">
        <f t="shared" si="7"/>
        <v>0.25043</v>
      </c>
      <c r="AR76" s="83"/>
      <c r="AS76" s="76"/>
      <c r="AT76" s="76"/>
      <c r="AU76" s="76"/>
    </row>
    <row r="77" spans="1:47" s="1" customFormat="1" ht="18.75" hidden="1" outlineLevel="2">
      <c r="A77" s="54"/>
      <c r="B77" s="75" t="s">
        <v>100</v>
      </c>
      <c r="C77" s="18"/>
      <c r="D77" s="21"/>
      <c r="E77" s="21">
        <f t="shared" si="0"/>
        <v>13.776</v>
      </c>
      <c r="F77" s="21"/>
      <c r="G77" s="27"/>
      <c r="H77" s="21"/>
      <c r="I77" s="21">
        <f>9.133-6.31</f>
        <v>2.8229999999999995</v>
      </c>
      <c r="J77" s="21"/>
      <c r="K77" s="21"/>
      <c r="L77" s="21">
        <f>I77</f>
        <v>2.8229999999999995</v>
      </c>
      <c r="M77" s="21"/>
      <c r="N77" s="21">
        <v>2.452</v>
      </c>
      <c r="O77" s="21"/>
      <c r="P77" s="21"/>
      <c r="Q77" s="21">
        <f>N77</f>
        <v>2.452</v>
      </c>
      <c r="R77" s="21"/>
      <c r="S77" s="21">
        <v>3.564</v>
      </c>
      <c r="T77" s="21"/>
      <c r="U77" s="21"/>
      <c r="V77" s="21">
        <f>S77</f>
        <v>3.564</v>
      </c>
      <c r="W77" s="21"/>
      <c r="X77" s="21">
        <v>4.937</v>
      </c>
      <c r="Y77" s="21"/>
      <c r="Z77" s="27">
        <v>3.492</v>
      </c>
      <c r="AA77" s="80"/>
      <c r="AB77" s="80"/>
      <c r="AC77" s="80"/>
      <c r="AD77" s="21">
        <f>X77</f>
        <v>4.937</v>
      </c>
      <c r="AE77" s="21">
        <v>9.493</v>
      </c>
      <c r="AF77" s="80"/>
      <c r="AG77" s="80"/>
      <c r="AH77" s="21">
        <f>3.924+0.04</f>
        <v>3.964</v>
      </c>
      <c r="AI77" s="21"/>
      <c r="AJ77" s="18"/>
      <c r="AK77" s="80"/>
      <c r="AL77" s="80"/>
      <c r="AM77" s="21">
        <v>9.793</v>
      </c>
      <c r="AN77" s="80"/>
      <c r="AO77" s="21">
        <v>6.29</v>
      </c>
      <c r="AP77" s="21">
        <f t="shared" si="6"/>
        <v>13.776</v>
      </c>
      <c r="AQ77" s="21">
        <f t="shared" si="7"/>
        <v>13.776</v>
      </c>
      <c r="AR77" s="83"/>
      <c r="AS77" s="88"/>
      <c r="AT77" s="88"/>
      <c r="AU77" s="88"/>
    </row>
    <row r="78" spans="1:47" s="1" customFormat="1" ht="37.5" hidden="1" outlineLevel="2">
      <c r="A78" s="54"/>
      <c r="B78" s="75" t="s">
        <v>101</v>
      </c>
      <c r="C78" s="18"/>
      <c r="D78" s="21"/>
      <c r="E78" s="21">
        <f t="shared" si="0"/>
        <v>2.724</v>
      </c>
      <c r="F78" s="21"/>
      <c r="G78" s="27">
        <f t="shared" si="2"/>
        <v>2.2350000000000003</v>
      </c>
      <c r="H78" s="21"/>
      <c r="I78" s="21"/>
      <c r="J78" s="21"/>
      <c r="K78" s="27"/>
      <c r="L78" s="27"/>
      <c r="M78" s="21"/>
      <c r="N78" s="21">
        <f>0.817</f>
        <v>0.817</v>
      </c>
      <c r="O78" s="21"/>
      <c r="P78" s="27">
        <v>0.817</v>
      </c>
      <c r="Q78" s="27"/>
      <c r="R78" s="21"/>
      <c r="S78" s="21">
        <v>1.907</v>
      </c>
      <c r="T78" s="21"/>
      <c r="U78" s="27">
        <f>1.61-0.192</f>
        <v>1.4180000000000001</v>
      </c>
      <c r="V78" s="27">
        <f>0.299-0.002+0.192</f>
        <v>0.489</v>
      </c>
      <c r="W78" s="21"/>
      <c r="X78" s="21"/>
      <c r="Y78" s="21"/>
      <c r="Z78" s="27">
        <v>0.392</v>
      </c>
      <c r="AA78" s="80"/>
      <c r="AB78" s="80"/>
      <c r="AC78" s="81"/>
      <c r="AD78" s="81"/>
      <c r="AE78" s="21">
        <f>Z78+AH78</f>
        <v>1.693356</v>
      </c>
      <c r="AF78" s="21">
        <v>2.162</v>
      </c>
      <c r="AG78" s="21"/>
      <c r="AH78" s="21">
        <v>1.301356</v>
      </c>
      <c r="AI78" s="21"/>
      <c r="AJ78" s="18"/>
      <c r="AK78" s="80"/>
      <c r="AL78" s="80"/>
      <c r="AM78" s="21">
        <f t="shared" si="5"/>
        <v>1.693</v>
      </c>
      <c r="AN78" s="80"/>
      <c r="AO78" s="80">
        <v>1.693</v>
      </c>
      <c r="AP78" s="21">
        <f t="shared" si="6"/>
        <v>2.724</v>
      </c>
      <c r="AQ78" s="21">
        <f t="shared" si="7"/>
        <v>2.724</v>
      </c>
      <c r="AR78" s="83"/>
      <c r="AS78" s="88"/>
      <c r="AT78" s="88"/>
      <c r="AU78" s="88"/>
    </row>
    <row r="79" spans="1:47" ht="15.75" collapsed="1">
      <c r="A79" s="92"/>
      <c r="B79" s="94"/>
      <c r="C79" s="89"/>
      <c r="D79" s="89"/>
      <c r="E79" s="90"/>
      <c r="F79" s="90"/>
      <c r="G79" s="91"/>
      <c r="H79" s="90"/>
      <c r="I79" s="90"/>
      <c r="J79" s="90"/>
      <c r="K79" s="91"/>
      <c r="L79" s="91"/>
      <c r="M79" s="90"/>
      <c r="N79" s="90"/>
      <c r="O79" s="90"/>
      <c r="P79" s="91"/>
      <c r="Q79" s="91"/>
      <c r="R79" s="90"/>
      <c r="S79" s="90"/>
      <c r="T79" s="90"/>
      <c r="U79" s="91"/>
      <c r="V79" s="91"/>
      <c r="W79" s="90"/>
      <c r="X79" s="90"/>
      <c r="Y79" s="90"/>
      <c r="Z79" s="91"/>
      <c r="AA79" s="90"/>
      <c r="AB79" s="90"/>
      <c r="AC79" s="91"/>
      <c r="AD79" s="91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89"/>
      <c r="AQ79" s="89"/>
      <c r="AR79" s="92"/>
      <c r="AS79" s="92"/>
      <c r="AT79" s="92"/>
      <c r="AU79" s="92"/>
    </row>
    <row r="80" spans="1:47" ht="15.75">
      <c r="A80" s="92"/>
      <c r="B80" s="92"/>
      <c r="C80" s="89"/>
      <c r="D80" s="89"/>
      <c r="E80" s="90"/>
      <c r="F80" s="90"/>
      <c r="G80" s="91"/>
      <c r="H80" s="90"/>
      <c r="I80" s="90"/>
      <c r="J80" s="90"/>
      <c r="K80" s="91"/>
      <c r="L80" s="91"/>
      <c r="M80" s="90"/>
      <c r="N80" s="90"/>
      <c r="O80" s="90"/>
      <c r="P80" s="91"/>
      <c r="Q80" s="91"/>
      <c r="R80" s="90"/>
      <c r="S80" s="90"/>
      <c r="T80" s="90"/>
      <c r="U80" s="91"/>
      <c r="V80" s="91"/>
      <c r="W80" s="90"/>
      <c r="X80" s="90"/>
      <c r="Y80" s="90"/>
      <c r="Z80" s="91"/>
      <c r="AA80" s="90"/>
      <c r="AB80" s="90"/>
      <c r="AC80" s="91"/>
      <c r="AD80" s="91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89"/>
      <c r="AQ80" s="89"/>
      <c r="AR80" s="92"/>
      <c r="AS80" s="92"/>
      <c r="AT80" s="92"/>
      <c r="AU80" s="92"/>
    </row>
    <row r="81" ht="15.75">
      <c r="A81" s="95"/>
    </row>
    <row r="82" spans="1:17" ht="15.75">
      <c r="A82" s="97"/>
      <c r="C82" s="98"/>
      <c r="I82" s="99"/>
      <c r="J82" s="99"/>
      <c r="K82" s="100"/>
      <c r="L82" s="100"/>
      <c r="M82" s="99"/>
      <c r="N82" s="99"/>
      <c r="O82" s="99"/>
      <c r="P82" s="100"/>
      <c r="Q82" s="100"/>
    </row>
    <row r="83" spans="4:47" ht="15.75">
      <c r="D83" s="101"/>
      <c r="I83" s="102"/>
      <c r="J83" s="102"/>
      <c r="K83" s="103"/>
      <c r="L83" s="103"/>
      <c r="N83" s="104"/>
      <c r="O83" s="104"/>
      <c r="P83" s="105"/>
      <c r="Q83" s="105"/>
      <c r="R83" s="104"/>
      <c r="S83" s="104"/>
      <c r="T83" s="104"/>
      <c r="U83" s="105"/>
      <c r="V83" s="105"/>
      <c r="X83" s="106"/>
      <c r="AP83" s="107"/>
      <c r="AQ83" s="107"/>
      <c r="AR83" s="108"/>
      <c r="AS83" s="108"/>
      <c r="AT83" s="108"/>
      <c r="AU83" s="108"/>
    </row>
    <row r="84" spans="1:17" ht="15.75">
      <c r="A84" s="1"/>
      <c r="D84" s="109"/>
      <c r="N84" s="110"/>
      <c r="O84" s="110"/>
      <c r="P84" s="111"/>
      <c r="Q84" s="111"/>
    </row>
    <row r="85" ht="15.75">
      <c r="M85" s="2" t="s">
        <v>102</v>
      </c>
    </row>
  </sheetData>
  <sheetProtection/>
  <mergeCells count="18">
    <mergeCell ref="A6:AR6"/>
    <mergeCell ref="A18:A20"/>
    <mergeCell ref="B18:B20"/>
    <mergeCell ref="C18:C20"/>
    <mergeCell ref="D18:X18"/>
    <mergeCell ref="Y18:AH19"/>
    <mergeCell ref="AI18:AO19"/>
    <mergeCell ref="AP18:AP20"/>
    <mergeCell ref="AQ18:AT18"/>
    <mergeCell ref="AU18:AU20"/>
    <mergeCell ref="D19:E19"/>
    <mergeCell ref="H19:I19"/>
    <mergeCell ref="M19:N19"/>
    <mergeCell ref="R19:S19"/>
    <mergeCell ref="W19:X19"/>
    <mergeCell ref="AQ19:AQ20"/>
    <mergeCell ref="AR19:AR20"/>
    <mergeCell ref="AS19:AT1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4" r:id="rId1"/>
  <rowBreaks count="1" manualBreakCount="1">
    <brk id="51" max="46" man="1"/>
  </rowBreaks>
  <colBreaks count="1" manualBreakCount="1">
    <brk id="44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kon</cp:lastModifiedBy>
  <dcterms:created xsi:type="dcterms:W3CDTF">2016-04-01T02:37:38Z</dcterms:created>
  <dcterms:modified xsi:type="dcterms:W3CDTF">2016-04-01T06:10:44Z</dcterms:modified>
  <cp:category/>
  <cp:version/>
  <cp:contentType/>
  <cp:contentStatus/>
</cp:coreProperties>
</file>