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405" activeTab="0"/>
  </bookViews>
  <sheets>
    <sheet name="приложение 7.1" sheetId="1" r:id="rId1"/>
  </sheets>
  <definedNames>
    <definedName name="_xlnm.Print_Area" localSheetId="0">'приложение 7.1'!$A$1:$AM$63</definedName>
  </definedNames>
  <calcPr fullCalcOnLoad="1"/>
</workbook>
</file>

<file path=xl/comments1.xml><?xml version="1.0" encoding="utf-8"?>
<comments xmlns="http://schemas.openxmlformats.org/spreadsheetml/2006/main">
  <authors>
    <author>ans</author>
  </authors>
  <commentList>
    <comment ref="M31" authorId="0">
      <text>
        <r>
          <rPr>
            <b/>
            <sz val="9"/>
            <rFont val="Tahoma"/>
            <family val="2"/>
          </rPr>
          <t>ans: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>2000001 РУБ ЗОДЧИЙ</t>
        </r>
      </text>
    </comment>
  </commentList>
</comments>
</file>

<file path=xl/sharedStrings.xml><?xml version="1.0" encoding="utf-8"?>
<sst xmlns="http://schemas.openxmlformats.org/spreadsheetml/2006/main" count="164" uniqueCount="129">
  <si>
    <t xml:space="preserve">  </t>
  </si>
  <si>
    <t>Приложение  № 7.1</t>
  </si>
  <si>
    <t>к приказу Минэнерго России</t>
  </si>
  <si>
    <t>от «___»________2010 г. №____</t>
  </si>
  <si>
    <t>Отчет об исполнении инвестиционной программы АО "Улан-Удэ Энерго" за 4 квартал 2016г., млн.рублей
(представляется ежеквартально)</t>
  </si>
  <si>
    <t>Утверждаю</t>
  </si>
  <si>
    <t xml:space="preserve"> </t>
  </si>
  <si>
    <t>(подпись)</t>
  </si>
  <si>
    <t>«___»________ 20__ года</t>
  </si>
  <si>
    <t>разница факт/план 1 п/г</t>
  </si>
  <si>
    <t>М.П.</t>
  </si>
  <si>
    <t xml:space="preserve">Остаток стоимости на начало года * </t>
  </si>
  <si>
    <t xml:space="preserve">Объём финанисрования
</t>
  </si>
  <si>
    <t>Освоено (закрыто актами выполнен-
ных работ),
млн. рублей</t>
  </si>
  <si>
    <t>Финанирование (с НДС), млн.рублей</t>
  </si>
  <si>
    <t>Введено оформлено актами ввода в эксплуатацию)
млн.рублей</t>
  </si>
  <si>
    <t>Осталось профинанси-
ровать по ре-
зультатам отчетного периода *</t>
  </si>
  <si>
    <t>Отклонение ***</t>
  </si>
  <si>
    <t>Причины отклонений</t>
  </si>
  <si>
    <t>всего</t>
  </si>
  <si>
    <t>1 кв</t>
  </si>
  <si>
    <t>2 кв</t>
  </si>
  <si>
    <t>3 кв</t>
  </si>
  <si>
    <t>4 кв</t>
  </si>
  <si>
    <t>млн.рублей</t>
  </si>
  <si>
    <t>%</t>
  </si>
  <si>
    <t>в том числе за счет</t>
  </si>
  <si>
    <t>план**</t>
  </si>
  <si>
    <t>факт***</t>
  </si>
  <si>
    <t>план</t>
  </si>
  <si>
    <t>факт</t>
  </si>
  <si>
    <t>Всего</t>
  </si>
  <si>
    <t>4 квартал</t>
  </si>
  <si>
    <t>амортиз план</t>
  </si>
  <si>
    <t>прочие план</t>
  </si>
  <si>
    <t>Всего 1-2 кв</t>
  </si>
  <si>
    <t>уточнения стоимости по результатам утвержденной ПСД</t>
  </si>
  <si>
    <t>уточнения стоимости по результатм закупочных процедур</t>
  </si>
  <si>
    <t>ВСЕГО</t>
  </si>
  <si>
    <t>Техническое перевооружение и реконструкция</t>
  </si>
  <si>
    <t>Увеличение стоимости объекта</t>
  </si>
  <si>
    <t>Энергосбережение и повышение энергетической эффективности</t>
  </si>
  <si>
    <t>1.1.1.</t>
  </si>
  <si>
    <t>Реконструкция ПС 35/6 кВ "КТП-1" (замена выключателей 35кВ, замена выключаи\телей 6кВ, замена защиты трансформаторов 35/6кВ и отходящих линий, установка транформаторов)</t>
  </si>
  <si>
    <t xml:space="preserve">отказ заявителя от заявки на технологическое присоединение РЖД </t>
  </si>
  <si>
    <t>1.1.2.</t>
  </si>
  <si>
    <t>Реконструкция ПС 35/6кВ "КТП-1" (приобретение трансформаторов 2*10000 кВА)</t>
  </si>
  <si>
    <t>Новое строительство</t>
  </si>
  <si>
    <t>Большой объем поступивших заявлений по обеспечению технологичнского присоединения льготной категории заявителей</t>
  </si>
  <si>
    <t>Прочее новое строительство</t>
  </si>
  <si>
    <t>2.2.1.</t>
  </si>
  <si>
    <t>Строительство КЛ-6кВ ф.7 ПС "Районная" на ТП-1096</t>
  </si>
  <si>
    <t xml:space="preserve">изменение сметной стоимости давальческого материала  </t>
  </si>
  <si>
    <t>2.2.2.</t>
  </si>
  <si>
    <t>Строительство КЛ-6кВ ф.4 ПС "Районная" выход на РП-18</t>
  </si>
  <si>
    <t>2.2.3.</t>
  </si>
  <si>
    <t>Обеспечение технологическим присоединением льготной категории заявителей  до 15 кВт и заявителей с мощностью свыше 15 кВт</t>
  </si>
  <si>
    <t>2.2.4.</t>
  </si>
  <si>
    <t>Оформление земельных участков</t>
  </si>
  <si>
    <t>2.2.5.</t>
  </si>
  <si>
    <t>2-й этап строительства гаража на территории базы АО "Улан-Удэ Энерго"</t>
  </si>
  <si>
    <t xml:space="preserve"> Работы перенесены на 2017г.</t>
  </si>
  <si>
    <t>2.3.</t>
  </si>
  <si>
    <t xml:space="preserve">Прочее </t>
  </si>
  <si>
    <t>2.3.1.</t>
  </si>
  <si>
    <t>Установка Аскуэ розничного рынка 2015-2017</t>
  </si>
  <si>
    <t>установлены приборы в Сов. Жел. Окт. РЭСах</t>
  </si>
  <si>
    <t>2.3.2.</t>
  </si>
  <si>
    <t>Установка АИИС КУЭ "Умный дом"</t>
  </si>
  <si>
    <t>2.3.3.</t>
  </si>
  <si>
    <t>Приобретение ОС (интеграция)</t>
  </si>
  <si>
    <t>2.3.4.</t>
  </si>
  <si>
    <t>Приборы</t>
  </si>
  <si>
    <t>2.3.5.</t>
  </si>
  <si>
    <t>Концентраторы</t>
  </si>
  <si>
    <t>Установлены в Жел. И Окт. РЭСах для формирование передачи данных по системи АИИСКУЭ в кол. 233 шт.</t>
  </si>
  <si>
    <t>2.3.6.</t>
  </si>
  <si>
    <t>ПС Центральная ПИР</t>
  </si>
  <si>
    <t>КЗ ф.8,42</t>
  </si>
  <si>
    <t>КЗ КИП</t>
  </si>
  <si>
    <t>2.3.7.</t>
  </si>
  <si>
    <t>Ячейка КСО-298 "Бриз"</t>
  </si>
  <si>
    <t>Установка 2 ячеек в ПС "КТП-11" и РП-34 для выполнение мероприятий в рамках тех. присоед. Заявителя  РОСТЕХ</t>
  </si>
  <si>
    <t>2.3.8.</t>
  </si>
  <si>
    <t>Пункты коммерческого учета</t>
  </si>
  <si>
    <t>Установлен на ф-12 ПС Западная для формирования балансов между РЭСами.</t>
  </si>
  <si>
    <t>2.3.9.</t>
  </si>
  <si>
    <t>Установка 2КТПН ДНТ "Сосновый"</t>
  </si>
  <si>
    <t>Для выполнения тех. усл. По заявителю РОО Дом</t>
  </si>
  <si>
    <t>2.3.10.</t>
  </si>
  <si>
    <t>ЯБПВУ ул.Пушкина</t>
  </si>
  <si>
    <t>2.3.11.</t>
  </si>
  <si>
    <t>Ячейка КСО РП-27</t>
  </si>
  <si>
    <t>Для выполнения тех. условий по заявителю Бордун 101 кВ</t>
  </si>
  <si>
    <t>2.3.12.</t>
  </si>
  <si>
    <t>Комутатор</t>
  </si>
  <si>
    <t>2 устройства предназначены для пердачии данных между сервирными</t>
  </si>
  <si>
    <t>2.3.13.</t>
  </si>
  <si>
    <t>Межсетевой экран</t>
  </si>
  <si>
    <t>установлен в помещении  серверной адм. корпуса</t>
  </si>
  <si>
    <t>2.3.14.</t>
  </si>
  <si>
    <t>Трансформатор силовой ТМ-400 6/0,4 кВ зав.№ 14801</t>
  </si>
  <si>
    <t>2.3.15.</t>
  </si>
  <si>
    <t>Трансформатор ТМ-400/6/0,4 кВ зав.№ 14817 в ТП-348</t>
  </si>
  <si>
    <t>2.3.16.</t>
  </si>
  <si>
    <t>Трансформатор ТСЛ-1600/6  № Т1002 в ТП-335</t>
  </si>
  <si>
    <t>2.3.17.</t>
  </si>
  <si>
    <t>Кран МКТ 25,7</t>
  </si>
  <si>
    <t>Выполнение мероприятий АО "Улан-Удэ Энерго" по договорам об осуществлении технологического присоединения к электрическим сетям АО "Улан-Удэ Энерго"</t>
  </si>
  <si>
    <t>2.3.18.</t>
  </si>
  <si>
    <t>Реконструкция (Обеспечение технологическим присоединением льготной категории заявителей  до 15 кВт и заявителей с мощностью свыше 15 кВт)</t>
  </si>
  <si>
    <t>2.3.19.</t>
  </si>
  <si>
    <t>Сервер</t>
  </si>
  <si>
    <t>для увеличения мощности внутренней сетки (бухгалтерия, общий отдел)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</si>
  <si>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</si>
  <si>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</si>
  <si>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</si>
  <si>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</si>
  <si>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 xml:space="preserve">Генеральный директор </t>
  </si>
  <si>
    <t>О.М.Шпилевский</t>
  </si>
  <si>
    <t>2.3.20.</t>
  </si>
  <si>
    <t>2.3.21.</t>
  </si>
  <si>
    <t>Контрольно-измерительные приборы</t>
  </si>
  <si>
    <t>Реконструкция КЛ-6 кВ ф.8 ф.42 ТЭЦ-1 от ПС-110/6 кВ "ЛВРЗ" до РП-8</t>
  </si>
  <si>
    <t>Увеличение мощности по заявке заявителя</t>
  </si>
  <si>
    <t xml:space="preserve"> Кредиторская задолженность по договорам 2015г.</t>
  </si>
  <si>
    <t>Увеличение длины трассы</t>
  </si>
  <si>
    <t>Интеграция сетей в целях снижения потерь</t>
  </si>
  <si>
    <t>Интеграция сетей в целях повышения надёжности потребителей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</si>
</sst>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d/m;@"/>
    <numFmt numFmtId="167" formatCode="dd/mm/yy;@"/>
    <numFmt numFmtId="168" formatCode="0.000000"/>
    <numFmt numFmtId="169" formatCode="0.00000"/>
    <numFmt numFmtId="170" formatCode="_-* #,##0.0000000_р_._-;\-* #,##0.0000000_р_._-;_-* &quot;-&quot;??_р_._-;_-@_-"/>
    <numFmt numFmtId="171" formatCode="0.0000000"/>
    <numFmt numFmtId="172" formatCode="0.0"/>
    <numFmt numFmtId="173" formatCode="_-* #,##0.000000_р_._-;\-* #,##0.000000_р_._-;_-* &quot;-&quot;??_р_._-;_-@_-"/>
    <numFmt numFmtId="174" formatCode="_-* #,##0.00000_р_._-;\-* #,##0.00000_р_._-;_-* &quot;-&quot;??_р_._-;_-@_-"/>
    <numFmt numFmtId="175" formatCode="_-* #,##0.0000_р_._-;\-* #,##0.0000_р_._-;_-* &quot;-&quot;??_р_._-;_-@_-"/>
    <numFmt numFmtId="176" formatCode="_-* #,##0.000_р_._-;\-* #,##0.000_р_._-;_-* &quot;-&quot;??_р_._-;_-@_-"/>
    <numFmt numFmtId="177" formatCode="0.00000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right" wrapText="1"/>
    </xf>
    <xf numFmtId="165" fontId="2" fillId="33" borderId="12" xfId="0" applyNumberFormat="1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right" wrapText="1"/>
    </xf>
    <xf numFmtId="165" fontId="0" fillId="0" borderId="12" xfId="0" applyNumberFormat="1" applyFont="1" applyBorder="1" applyAlignment="1">
      <alignment horizontal="right" wrapText="1"/>
    </xf>
    <xf numFmtId="165" fontId="0" fillId="0" borderId="12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 wrapText="1"/>
    </xf>
    <xf numFmtId="165" fontId="0" fillId="33" borderId="12" xfId="0" applyNumberFormat="1" applyFont="1" applyFill="1" applyBorder="1" applyAlignment="1">
      <alignment horizontal="right" wrapText="1"/>
    </xf>
    <xf numFmtId="0" fontId="6" fillId="0" borderId="16" xfId="52" applyFont="1" applyBorder="1" applyAlignment="1">
      <alignment horizontal="left" vertical="center" wrapText="1"/>
      <protection/>
    </xf>
    <xf numFmtId="165" fontId="0" fillId="0" borderId="12" xfId="52" applyNumberFormat="1" applyFont="1" applyBorder="1" applyAlignment="1">
      <alignment horizontal="right"/>
      <protection/>
    </xf>
    <xf numFmtId="165" fontId="0" fillId="0" borderId="12" xfId="52" applyNumberFormat="1" applyFont="1" applyFill="1" applyBorder="1" applyAlignment="1">
      <alignment horizontal="right"/>
      <protection/>
    </xf>
    <xf numFmtId="165" fontId="0" fillId="33" borderId="12" xfId="52" applyNumberFormat="1" applyFont="1" applyFill="1" applyBorder="1" applyAlignment="1">
      <alignment horizontal="right"/>
      <protection/>
    </xf>
    <xf numFmtId="165" fontId="2" fillId="0" borderId="12" xfId="52" applyNumberFormat="1" applyFont="1" applyBorder="1" applyAlignment="1">
      <alignment horizontal="right"/>
      <protection/>
    </xf>
    <xf numFmtId="165" fontId="0" fillId="0" borderId="12" xfId="52" applyNumberFormat="1" applyFont="1" applyBorder="1" applyAlignment="1">
      <alignment horizontal="left" vertical="center"/>
      <protection/>
    </xf>
    <xf numFmtId="0" fontId="0" fillId="0" borderId="17" xfId="52" applyFont="1" applyBorder="1" applyAlignment="1">
      <alignment horizontal="left" vertical="center"/>
      <protection/>
    </xf>
    <xf numFmtId="0" fontId="0" fillId="0" borderId="12" xfId="52" applyFont="1" applyBorder="1" applyAlignment="1">
      <alignment horizontal="left" vertical="center"/>
      <protection/>
    </xf>
    <xf numFmtId="0" fontId="7" fillId="0" borderId="12" xfId="0" applyFont="1" applyBorder="1" applyAlignment="1">
      <alignment horizontal="center"/>
    </xf>
    <xf numFmtId="0" fontId="7" fillId="0" borderId="12" xfId="54" applyNumberFormat="1" applyFont="1" applyBorder="1" applyAlignment="1">
      <alignment horizontal="center" vertical="center" wrapText="1"/>
      <protection/>
    </xf>
    <xf numFmtId="165" fontId="2" fillId="0" borderId="12" xfId="54" applyNumberFormat="1" applyFont="1" applyBorder="1" applyAlignment="1">
      <alignment horizontal="right" wrapText="1"/>
      <protection/>
    </xf>
    <xf numFmtId="165" fontId="2" fillId="0" borderId="12" xfId="54" applyNumberFormat="1" applyFont="1" applyFill="1" applyBorder="1" applyAlignment="1">
      <alignment horizontal="right" wrapText="1"/>
      <protection/>
    </xf>
    <xf numFmtId="165" fontId="0" fillId="0" borderId="12" xfId="54" applyNumberFormat="1" applyFont="1" applyBorder="1" applyAlignment="1">
      <alignment horizontal="right" wrapText="1"/>
      <protection/>
    </xf>
    <xf numFmtId="165" fontId="2" fillId="33" borderId="12" xfId="54" applyNumberFormat="1" applyFont="1" applyFill="1" applyBorder="1" applyAlignment="1">
      <alignment horizontal="right" wrapText="1"/>
      <protection/>
    </xf>
    <xf numFmtId="0" fontId="0" fillId="0" borderId="12" xfId="0" applyFont="1" applyFill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 wrapText="1"/>
    </xf>
    <xf numFmtId="165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2" xfId="52" applyFont="1" applyBorder="1" applyAlignment="1">
      <alignment horizontal="center" vertical="center" wrapText="1"/>
      <protection/>
    </xf>
    <xf numFmtId="165" fontId="2" fillId="0" borderId="12" xfId="52" applyNumberFormat="1" applyFont="1" applyBorder="1" applyAlignment="1">
      <alignment horizontal="right" wrapText="1"/>
      <protection/>
    </xf>
    <xf numFmtId="165" fontId="2" fillId="0" borderId="12" xfId="52" applyNumberFormat="1" applyFont="1" applyFill="1" applyBorder="1" applyAlignment="1">
      <alignment horizontal="right" wrapText="1"/>
      <protection/>
    </xf>
    <xf numFmtId="165" fontId="0" fillId="0" borderId="12" xfId="52" applyNumberFormat="1" applyFont="1" applyBorder="1" applyAlignment="1">
      <alignment horizontal="right" wrapText="1"/>
      <protection/>
    </xf>
    <xf numFmtId="165" fontId="2" fillId="33" borderId="12" xfId="52" applyNumberFormat="1" applyFont="1" applyFill="1" applyBorder="1" applyAlignment="1">
      <alignment horizontal="right" wrapText="1"/>
      <protection/>
    </xf>
    <xf numFmtId="165" fontId="2" fillId="0" borderId="12" xfId="52" applyNumberFormat="1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165" fontId="0" fillId="0" borderId="12" xfId="52" applyNumberFormat="1" applyFont="1" applyFill="1" applyBorder="1" applyAlignment="1">
      <alignment horizontal="right" wrapText="1"/>
      <protection/>
    </xf>
    <xf numFmtId="165" fontId="0" fillId="33" borderId="12" xfId="52" applyNumberFormat="1" applyFont="1" applyFill="1" applyBorder="1" applyAlignment="1">
      <alignment horizontal="right" wrapText="1"/>
      <protection/>
    </xf>
    <xf numFmtId="165" fontId="0" fillId="0" borderId="12" xfId="52" applyNumberFormat="1" applyFont="1" applyBorder="1" applyAlignment="1">
      <alignment horizontal="left" vertical="center" wrapText="1"/>
      <protection/>
    </xf>
    <xf numFmtId="0" fontId="0" fillId="0" borderId="12" xfId="52" applyFont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wrapText="1"/>
    </xf>
    <xf numFmtId="165" fontId="2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vertical="center" wrapText="1"/>
    </xf>
    <xf numFmtId="165" fontId="6" fillId="33" borderId="12" xfId="0" applyNumberFormat="1" applyFont="1" applyFill="1" applyBorder="1" applyAlignment="1">
      <alignment horizontal="right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165" fontId="0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horizontal="right" vertical="center" wrapText="1"/>
    </xf>
    <xf numFmtId="165" fontId="0" fillId="33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5" fontId="6" fillId="33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 wrapText="1"/>
    </xf>
    <xf numFmtId="165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/>
    </xf>
    <xf numFmtId="2" fontId="0" fillId="33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165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right" wrapText="1"/>
    </xf>
    <xf numFmtId="165" fontId="0" fillId="0" borderId="12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P84"/>
  <sheetViews>
    <sheetView tabSelected="1" view="pageBreakPreview" zoomScale="75" zoomScaleSheetLayoutView="75" zoomScalePageLayoutView="0" workbookViewId="0" topLeftCell="I52">
      <selection activeCell="B58" sqref="B58:Q64"/>
    </sheetView>
  </sheetViews>
  <sheetFormatPr defaultColWidth="9.00390625" defaultRowHeight="15.75" outlineLevelRow="1"/>
  <cols>
    <col min="1" max="1" width="10.125" style="1" customWidth="1"/>
    <col min="2" max="2" width="37.25390625" style="1" bestFit="1" customWidth="1"/>
    <col min="3" max="13" width="14.625" style="1" customWidth="1"/>
    <col min="14" max="14" width="10.625" style="2" customWidth="1"/>
    <col min="15" max="15" width="9.75390625" style="3" customWidth="1"/>
    <col min="16" max="17" width="9.75390625" style="3" hidden="1" customWidth="1"/>
    <col min="18" max="18" width="9.25390625" style="4" hidden="1" customWidth="1"/>
    <col min="19" max="20" width="10.875" style="4" hidden="1" customWidth="1"/>
    <col min="21" max="21" width="10.75390625" style="2" hidden="1" customWidth="1"/>
    <col min="22" max="23" width="10.50390625" style="3" hidden="1" customWidth="1"/>
    <col min="24" max="26" width="10.125" style="2" hidden="1" customWidth="1"/>
    <col min="27" max="27" width="13.50390625" style="5" hidden="1" customWidth="1"/>
    <col min="28" max="28" width="6.625" style="5" hidden="1" customWidth="1"/>
    <col min="29" max="29" width="9.875" style="6" customWidth="1"/>
    <col min="30" max="30" width="10.375" style="7" hidden="1" customWidth="1"/>
    <col min="31" max="31" width="10.375" style="7" customWidth="1"/>
    <col min="32" max="33" width="10.375" style="7" hidden="1" customWidth="1"/>
    <col min="34" max="34" width="13.375" style="3" customWidth="1"/>
    <col min="35" max="35" width="12.25390625" style="1" customWidth="1"/>
    <col min="36" max="36" width="7.625" style="1" customWidth="1"/>
    <col min="37" max="37" width="13.75390625" style="1" customWidth="1"/>
    <col min="38" max="38" width="13.00390625" style="1" customWidth="1"/>
    <col min="39" max="39" width="35.875" style="1" customWidth="1"/>
    <col min="40" max="41" width="9.00390625" style="1" customWidth="1"/>
    <col min="42" max="42" width="21.00390625" style="1" customWidth="1"/>
    <col min="43" max="16384" width="9.00390625" style="1" customWidth="1"/>
  </cols>
  <sheetData>
    <row r="1" ht="15.75">
      <c r="A1" s="1" t="s">
        <v>0</v>
      </c>
    </row>
    <row r="2" ht="23.25">
      <c r="AM2" s="8" t="s">
        <v>1</v>
      </c>
    </row>
    <row r="3" ht="23.25">
      <c r="AM3" s="8" t="s">
        <v>2</v>
      </c>
    </row>
    <row r="4" ht="23.25">
      <c r="AM4" s="8" t="s">
        <v>3</v>
      </c>
    </row>
    <row r="5" ht="23.25">
      <c r="AM5" s="8"/>
    </row>
    <row r="6" spans="1:39" ht="51.75" customHeight="1">
      <c r="A6" s="127" t="s">
        <v>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</row>
    <row r="7" ht="23.25">
      <c r="AM7" s="8" t="s">
        <v>5</v>
      </c>
    </row>
    <row r="8" ht="23.25">
      <c r="AM8" s="8" t="s">
        <v>118</v>
      </c>
    </row>
    <row r="9" ht="23.25">
      <c r="AM9" s="8" t="s">
        <v>119</v>
      </c>
    </row>
    <row r="10" ht="23.25">
      <c r="AM10" s="8"/>
    </row>
    <row r="11" spans="18:39" ht="23.25">
      <c r="R11" s="4" t="s">
        <v>6</v>
      </c>
      <c r="AM11" s="8"/>
    </row>
    <row r="12" ht="23.25">
      <c r="AM12" s="9" t="s">
        <v>7</v>
      </c>
    </row>
    <row r="13" spans="1:39" ht="23.25">
      <c r="A13" s="10" t="s">
        <v>6</v>
      </c>
      <c r="AM13" s="8" t="s">
        <v>8</v>
      </c>
    </row>
    <row r="14" spans="1:39" ht="23.25" customHeight="1" hidden="1">
      <c r="A14" s="10"/>
      <c r="AI14" s="1" t="s">
        <v>9</v>
      </c>
      <c r="AM14" s="8" t="s">
        <v>10</v>
      </c>
    </row>
    <row r="15" spans="1:39" ht="23.25">
      <c r="A15" s="10"/>
      <c r="AM15" s="8"/>
    </row>
    <row r="16" spans="1:39" ht="23.25">
      <c r="A16" s="10"/>
      <c r="AM16" s="8"/>
    </row>
    <row r="17" ht="24" thickBot="1">
      <c r="AM17" s="11"/>
    </row>
    <row r="18" spans="1:40" ht="126" customHeight="1">
      <c r="A18" s="129" t="s">
        <v>0</v>
      </c>
      <c r="B18" s="131" t="s">
        <v>6</v>
      </c>
      <c r="C18" s="131" t="s">
        <v>11</v>
      </c>
      <c r="D18" s="131" t="s">
        <v>12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3" t="s">
        <v>13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5"/>
      <c r="Y18" s="12"/>
      <c r="Z18" s="13"/>
      <c r="AA18" s="144" t="s">
        <v>14</v>
      </c>
      <c r="AB18" s="145"/>
      <c r="AC18" s="143" t="s">
        <v>15</v>
      </c>
      <c r="AD18" s="143"/>
      <c r="AE18" s="143"/>
      <c r="AF18" s="143"/>
      <c r="AG18" s="143"/>
      <c r="AH18" s="148" t="s">
        <v>16</v>
      </c>
      <c r="AI18" s="131" t="s">
        <v>17</v>
      </c>
      <c r="AJ18" s="131"/>
      <c r="AK18" s="131"/>
      <c r="AL18" s="131"/>
      <c r="AM18" s="139" t="s">
        <v>18</v>
      </c>
      <c r="AN18" s="1" t="s">
        <v>6</v>
      </c>
    </row>
    <row r="19" spans="1:39" ht="31.5" customHeight="1">
      <c r="A19" s="130"/>
      <c r="B19" s="132"/>
      <c r="C19" s="132"/>
      <c r="D19" s="132" t="s">
        <v>19</v>
      </c>
      <c r="E19" s="132"/>
      <c r="F19" s="143" t="s">
        <v>20</v>
      </c>
      <c r="G19" s="143"/>
      <c r="H19" s="143" t="s">
        <v>21</v>
      </c>
      <c r="I19" s="143"/>
      <c r="J19" s="143" t="s">
        <v>22</v>
      </c>
      <c r="K19" s="143"/>
      <c r="L19" s="143" t="s">
        <v>23</v>
      </c>
      <c r="M19" s="143"/>
      <c r="N19" s="136"/>
      <c r="O19" s="137"/>
      <c r="P19" s="137"/>
      <c r="Q19" s="137"/>
      <c r="R19" s="137"/>
      <c r="S19" s="137"/>
      <c r="T19" s="137"/>
      <c r="U19" s="137"/>
      <c r="V19" s="137"/>
      <c r="W19" s="137"/>
      <c r="X19" s="138"/>
      <c r="Y19" s="14"/>
      <c r="Z19" s="16"/>
      <c r="AA19" s="146"/>
      <c r="AB19" s="147"/>
      <c r="AC19" s="143"/>
      <c r="AD19" s="143"/>
      <c r="AE19" s="143"/>
      <c r="AF19" s="143"/>
      <c r="AG19" s="143"/>
      <c r="AH19" s="149"/>
      <c r="AI19" s="132" t="s">
        <v>24</v>
      </c>
      <c r="AJ19" s="132" t="s">
        <v>25</v>
      </c>
      <c r="AK19" s="132" t="s">
        <v>26</v>
      </c>
      <c r="AL19" s="132"/>
      <c r="AM19" s="140"/>
    </row>
    <row r="20" spans="1:40" ht="135.75" customHeight="1">
      <c r="A20" s="130"/>
      <c r="B20" s="132"/>
      <c r="C20" s="132"/>
      <c r="D20" s="15" t="s">
        <v>27</v>
      </c>
      <c r="E20" s="17" t="s">
        <v>28</v>
      </c>
      <c r="F20" s="14" t="s">
        <v>29</v>
      </c>
      <c r="G20" s="14" t="s">
        <v>30</v>
      </c>
      <c r="H20" s="14" t="s">
        <v>29</v>
      </c>
      <c r="I20" s="18" t="s">
        <v>30</v>
      </c>
      <c r="J20" s="14" t="s">
        <v>29</v>
      </c>
      <c r="K20" s="17" t="s">
        <v>30</v>
      </c>
      <c r="L20" s="14" t="s">
        <v>29</v>
      </c>
      <c r="M20" s="17" t="s">
        <v>30</v>
      </c>
      <c r="N20" s="17" t="s">
        <v>31</v>
      </c>
      <c r="O20" s="14" t="s">
        <v>32</v>
      </c>
      <c r="P20" s="14" t="s">
        <v>33</v>
      </c>
      <c r="Q20" s="14" t="s">
        <v>34</v>
      </c>
      <c r="R20" s="18" t="s">
        <v>30</v>
      </c>
      <c r="S20" s="14" t="s">
        <v>33</v>
      </c>
      <c r="T20" s="14" t="s">
        <v>34</v>
      </c>
      <c r="U20" s="17" t="s">
        <v>30</v>
      </c>
      <c r="V20" s="14" t="s">
        <v>33</v>
      </c>
      <c r="W20" s="14" t="s">
        <v>34</v>
      </c>
      <c r="X20" s="17" t="s">
        <v>32</v>
      </c>
      <c r="Y20" s="14" t="s">
        <v>33</v>
      </c>
      <c r="Z20" s="14" t="s">
        <v>34</v>
      </c>
      <c r="AA20" s="19" t="s">
        <v>35</v>
      </c>
      <c r="AB20" s="19" t="s">
        <v>20</v>
      </c>
      <c r="AC20" s="20" t="s">
        <v>31</v>
      </c>
      <c r="AD20" s="20" t="s">
        <v>20</v>
      </c>
      <c r="AE20" s="20" t="s">
        <v>23</v>
      </c>
      <c r="AF20" s="20" t="s">
        <v>22</v>
      </c>
      <c r="AG20" s="20" t="s">
        <v>21</v>
      </c>
      <c r="AH20" s="150"/>
      <c r="AI20" s="132"/>
      <c r="AJ20" s="132"/>
      <c r="AK20" s="15" t="s">
        <v>36</v>
      </c>
      <c r="AL20" s="15" t="s">
        <v>37</v>
      </c>
      <c r="AM20" s="140"/>
      <c r="AN20" s="1" t="s">
        <v>6</v>
      </c>
    </row>
    <row r="21" spans="1:39" ht="15.75">
      <c r="A21" s="21"/>
      <c r="B21" s="14" t="s">
        <v>38</v>
      </c>
      <c r="C21" s="22">
        <f>C22+C26</f>
        <v>88.01383999999999</v>
      </c>
      <c r="D21" s="22">
        <f>D22+D26</f>
        <v>88.01431199999999</v>
      </c>
      <c r="E21" s="22">
        <f>G21+I21+K21+M21</f>
        <v>124.39698390000001</v>
      </c>
      <c r="F21" s="22">
        <f>F22+F26</f>
        <v>4.35538</v>
      </c>
      <c r="G21" s="22">
        <f>G22+G26+G34</f>
        <v>26.662</v>
      </c>
      <c r="H21" s="22">
        <f>H22+H26</f>
        <v>12.222439999999999</v>
      </c>
      <c r="I21" s="22">
        <f>I22+I26+I34</f>
        <v>33.647000000000006</v>
      </c>
      <c r="J21" s="22">
        <f>J22+J26</f>
        <v>12.22303</v>
      </c>
      <c r="K21" s="22">
        <f>K22+K26+K34</f>
        <v>34.8954</v>
      </c>
      <c r="L21" s="22">
        <f>L22+L26</f>
        <v>59.21346199999999</v>
      </c>
      <c r="M21" s="22">
        <f>M22+M26+M34</f>
        <v>29.192583900000002</v>
      </c>
      <c r="N21" s="22">
        <f>N26</f>
        <v>132.45786178999998</v>
      </c>
      <c r="O21" s="22">
        <f>O22+O26+O34</f>
        <v>54.980704700000004</v>
      </c>
      <c r="P21" s="22" t="e">
        <f aca="true" t="shared" si="0" ref="P21:Z21">P22+P26</f>
        <v>#REF!</v>
      </c>
      <c r="Q21" s="22" t="e">
        <f t="shared" si="0"/>
        <v>#REF!</v>
      </c>
      <c r="R21" s="22">
        <f>R22+R26+R34</f>
        <v>14.4563</v>
      </c>
      <c r="S21" s="22" t="e">
        <f t="shared" si="0"/>
        <v>#REF!</v>
      </c>
      <c r="T21" s="22" t="e">
        <f t="shared" si="0"/>
        <v>#REF!</v>
      </c>
      <c r="U21" s="22">
        <f>U22+U26+U34</f>
        <v>44.407313</v>
      </c>
      <c r="V21" s="22" t="e">
        <f t="shared" si="0"/>
        <v>#REF!</v>
      </c>
      <c r="W21" s="22" t="e">
        <f t="shared" si="0"/>
        <v>#REF!</v>
      </c>
      <c r="X21" s="22">
        <f>X22+X26+X34</f>
        <v>54.360566430000006</v>
      </c>
      <c r="Y21" s="22" t="e">
        <f t="shared" si="0"/>
        <v>#REF!</v>
      </c>
      <c r="Z21" s="22" t="e">
        <f t="shared" si="0"/>
        <v>#REF!</v>
      </c>
      <c r="AA21" s="23" t="e">
        <f>AB21+#REF!</f>
        <v>#REF!</v>
      </c>
      <c r="AB21" s="23">
        <f>AB22+AB26+AB34</f>
        <v>26.161642999999998</v>
      </c>
      <c r="AC21" s="22">
        <f>AD21+AE21+AF21+AG21</f>
        <v>106.18797613000001</v>
      </c>
      <c r="AD21" s="22">
        <f>AD22+AD26+AD34</f>
        <v>13.445699999999999</v>
      </c>
      <c r="AE21" s="22">
        <f>AE22+AE26+AE34</f>
        <v>64.94670113000001</v>
      </c>
      <c r="AF21" s="22">
        <f>AF26+AF34</f>
        <v>17.973575</v>
      </c>
      <c r="AG21" s="22">
        <f>AG22+AG26+AG34</f>
        <v>9.822000000000001</v>
      </c>
      <c r="AH21" s="22">
        <f>AH26</f>
        <v>13.936999999999998</v>
      </c>
      <c r="AI21" s="22">
        <f>E21-D21</f>
        <v>36.38267190000002</v>
      </c>
      <c r="AJ21" s="24">
        <f aca="true" t="shared" si="1" ref="AJ21:AJ28">E21*100/D21</f>
        <v>141.3372224053743</v>
      </c>
      <c r="AK21" s="25"/>
      <c r="AL21" s="25"/>
      <c r="AM21" s="26"/>
    </row>
    <row r="22" spans="1:42" ht="40.5" customHeight="1">
      <c r="A22" s="27">
        <v>1</v>
      </c>
      <c r="B22" s="28" t="s">
        <v>39</v>
      </c>
      <c r="C22" s="29">
        <f>C23</f>
        <v>39.763639999999995</v>
      </c>
      <c r="D22" s="29">
        <f>D23</f>
        <v>39.763639999999995</v>
      </c>
      <c r="E22" s="22"/>
      <c r="F22" s="29"/>
      <c r="G22" s="22"/>
      <c r="H22" s="29"/>
      <c r="I22" s="22"/>
      <c r="J22" s="29"/>
      <c r="K22" s="22"/>
      <c r="L22" s="29">
        <f>L23</f>
        <v>39.763639999999995</v>
      </c>
      <c r="M22" s="29"/>
      <c r="N22" s="22"/>
      <c r="O22" s="22"/>
      <c r="P22" s="29"/>
      <c r="Q22" s="29"/>
      <c r="R22" s="22"/>
      <c r="S22" s="29"/>
      <c r="T22" s="29"/>
      <c r="U22" s="22"/>
      <c r="V22" s="29">
        <f>V23</f>
        <v>0</v>
      </c>
      <c r="W22" s="29">
        <f>W23</f>
        <v>0</v>
      </c>
      <c r="X22" s="29"/>
      <c r="Y22" s="30" t="e">
        <f>Y23</f>
        <v>#REF!</v>
      </c>
      <c r="Z22" s="30">
        <f>Z23</f>
        <v>0</v>
      </c>
      <c r="AA22" s="23"/>
      <c r="AB22" s="23"/>
      <c r="AC22" s="22"/>
      <c r="AD22" s="22"/>
      <c r="AE22" s="31"/>
      <c r="AF22" s="22"/>
      <c r="AG22" s="22"/>
      <c r="AH22" s="22">
        <v>0</v>
      </c>
      <c r="AI22" s="22">
        <v>0</v>
      </c>
      <c r="AJ22" s="24">
        <f t="shared" si="1"/>
        <v>0</v>
      </c>
      <c r="AK22" s="32"/>
      <c r="AL22" s="25"/>
      <c r="AM22" s="26"/>
      <c r="AP22" s="33" t="s">
        <v>40</v>
      </c>
    </row>
    <row r="23" spans="1:42" ht="37.5" customHeight="1">
      <c r="A23" s="34">
        <v>42005</v>
      </c>
      <c r="B23" s="28" t="s">
        <v>41</v>
      </c>
      <c r="C23" s="29">
        <f>SUM(C24:C25)</f>
        <v>39.763639999999995</v>
      </c>
      <c r="D23" s="29">
        <f>SUM(D24:D25)</f>
        <v>39.763639999999995</v>
      </c>
      <c r="E23" s="22"/>
      <c r="F23" s="29"/>
      <c r="G23" s="22"/>
      <c r="H23" s="29"/>
      <c r="I23" s="22"/>
      <c r="J23" s="29"/>
      <c r="K23" s="22"/>
      <c r="L23" s="29">
        <f>L24+L25</f>
        <v>39.763639999999995</v>
      </c>
      <c r="M23" s="29"/>
      <c r="N23" s="22"/>
      <c r="O23" s="22"/>
      <c r="P23" s="29"/>
      <c r="Q23" s="29"/>
      <c r="R23" s="22"/>
      <c r="S23" s="29"/>
      <c r="T23" s="29"/>
      <c r="U23" s="22"/>
      <c r="V23" s="29">
        <f>SUM(V24:V25)</f>
        <v>0</v>
      </c>
      <c r="W23" s="29">
        <f>SUM(W24:W25)</f>
        <v>0</v>
      </c>
      <c r="X23" s="29"/>
      <c r="Y23" s="30" t="e">
        <f>SUM(Y24:Y25)</f>
        <v>#REF!</v>
      </c>
      <c r="Z23" s="30">
        <f>SUM(Z24:Z25)</f>
        <v>0</v>
      </c>
      <c r="AA23" s="23"/>
      <c r="AB23" s="23"/>
      <c r="AC23" s="22"/>
      <c r="AD23" s="22"/>
      <c r="AE23" s="31"/>
      <c r="AF23" s="22"/>
      <c r="AG23" s="22"/>
      <c r="AH23" s="22">
        <v>0</v>
      </c>
      <c r="AI23" s="22">
        <v>0</v>
      </c>
      <c r="AJ23" s="24">
        <f t="shared" si="1"/>
        <v>0</v>
      </c>
      <c r="AK23" s="32"/>
      <c r="AL23" s="25"/>
      <c r="AM23" s="26"/>
      <c r="AP23" s="33" t="s">
        <v>40</v>
      </c>
    </row>
    <row r="24" spans="1:42" ht="117" customHeight="1">
      <c r="A24" s="35" t="s">
        <v>42</v>
      </c>
      <c r="B24" s="36" t="s">
        <v>43</v>
      </c>
      <c r="C24" s="30">
        <f>13.698*1.18</f>
        <v>16.16364</v>
      </c>
      <c r="D24" s="30">
        <f>L24</f>
        <v>16.16364</v>
      </c>
      <c r="E24" s="22"/>
      <c r="F24" s="31"/>
      <c r="G24" s="31"/>
      <c r="H24" s="31"/>
      <c r="I24" s="31"/>
      <c r="J24" s="31"/>
      <c r="K24" s="31"/>
      <c r="L24" s="31">
        <f>13.698*1.18</f>
        <v>16.16364</v>
      </c>
      <c r="M24" s="31"/>
      <c r="N24" s="22"/>
      <c r="O24" s="31"/>
      <c r="P24" s="31"/>
      <c r="Q24" s="31"/>
      <c r="R24" s="31"/>
      <c r="S24" s="31"/>
      <c r="T24" s="31"/>
      <c r="U24" s="31"/>
      <c r="V24" s="31"/>
      <c r="W24" s="31"/>
      <c r="X24" s="31">
        <v>0</v>
      </c>
      <c r="Y24" s="31" t="e">
        <f>#REF!</f>
        <v>#REF!</v>
      </c>
      <c r="Z24" s="31"/>
      <c r="AA24" s="23"/>
      <c r="AB24" s="37"/>
      <c r="AC24" s="22"/>
      <c r="AD24" s="31"/>
      <c r="AE24" s="31"/>
      <c r="AF24" s="31"/>
      <c r="AG24" s="31"/>
      <c r="AH24" s="22">
        <v>0</v>
      </c>
      <c r="AI24" s="22">
        <v>0</v>
      </c>
      <c r="AJ24" s="24">
        <f t="shared" si="1"/>
        <v>0</v>
      </c>
      <c r="AK24" s="32"/>
      <c r="AL24" s="25"/>
      <c r="AM24" s="26" t="s">
        <v>44</v>
      </c>
      <c r="AP24" s="33"/>
    </row>
    <row r="25" spans="1:42" ht="56.25">
      <c r="A25" s="35" t="s">
        <v>45</v>
      </c>
      <c r="B25" s="38" t="s">
        <v>46</v>
      </c>
      <c r="C25" s="39">
        <f>20*1.18</f>
        <v>23.599999999999998</v>
      </c>
      <c r="D25" s="39">
        <f>L25</f>
        <v>23.599999999999998</v>
      </c>
      <c r="E25" s="22"/>
      <c r="F25" s="40"/>
      <c r="G25" s="40"/>
      <c r="H25" s="40"/>
      <c r="I25" s="40"/>
      <c r="J25" s="40"/>
      <c r="K25" s="40"/>
      <c r="L25" s="40">
        <f>20*1.18</f>
        <v>23.599999999999998</v>
      </c>
      <c r="M25" s="39"/>
      <c r="N25" s="22"/>
      <c r="O25" s="40"/>
      <c r="P25" s="40"/>
      <c r="Q25" s="40"/>
      <c r="R25" s="40"/>
      <c r="S25" s="39"/>
      <c r="T25" s="39"/>
      <c r="U25" s="40"/>
      <c r="V25" s="39"/>
      <c r="W25" s="39"/>
      <c r="X25" s="39">
        <v>0</v>
      </c>
      <c r="Y25" s="39" t="e">
        <f>#REF!</f>
        <v>#REF!</v>
      </c>
      <c r="Z25" s="39"/>
      <c r="AA25" s="23"/>
      <c r="AB25" s="41"/>
      <c r="AC25" s="42"/>
      <c r="AD25" s="39"/>
      <c r="AE25" s="31"/>
      <c r="AF25" s="40"/>
      <c r="AG25" s="39"/>
      <c r="AH25" s="22">
        <v>0</v>
      </c>
      <c r="AI25" s="22">
        <v>0</v>
      </c>
      <c r="AJ25" s="24">
        <f t="shared" si="1"/>
        <v>0</v>
      </c>
      <c r="AK25" s="43"/>
      <c r="AL25" s="43"/>
      <c r="AM25" s="26" t="s">
        <v>44</v>
      </c>
      <c r="AN25" s="44"/>
      <c r="AP25" s="45"/>
    </row>
    <row r="26" spans="1:42" ht="38.25" customHeight="1">
      <c r="A26" s="46">
        <v>2</v>
      </c>
      <c r="B26" s="47" t="s">
        <v>47</v>
      </c>
      <c r="C26" s="48">
        <f>C28</f>
        <v>48.25019999999999</v>
      </c>
      <c r="D26" s="48">
        <f>D28</f>
        <v>48.250671999999994</v>
      </c>
      <c r="E26" s="22">
        <f>G26+I26+K26+M26</f>
        <v>70.53541017</v>
      </c>
      <c r="F26" s="48">
        <f>F28</f>
        <v>4.35538</v>
      </c>
      <c r="G26" s="49">
        <f>G28</f>
        <v>3.676</v>
      </c>
      <c r="H26" s="48">
        <f>H28</f>
        <v>12.222439999999999</v>
      </c>
      <c r="I26" s="49">
        <f>I28</f>
        <v>11.689</v>
      </c>
      <c r="J26" s="48">
        <f>J28</f>
        <v>12.22303</v>
      </c>
      <c r="K26" s="49">
        <f>K27+K28</f>
        <v>32.5234</v>
      </c>
      <c r="L26" s="49">
        <f>L27+L28</f>
        <v>19.449822</v>
      </c>
      <c r="M26" s="49">
        <f>M27+M28</f>
        <v>22.64701017</v>
      </c>
      <c r="N26" s="22">
        <f>N28+N34</f>
        <v>132.45786178999998</v>
      </c>
      <c r="O26" s="49">
        <f aca="true" t="shared" si="2" ref="O26:Z26">O28</f>
        <v>39.168425</v>
      </c>
      <c r="P26" s="48" t="e">
        <f t="shared" si="2"/>
        <v>#REF!</v>
      </c>
      <c r="Q26" s="48" t="e">
        <f t="shared" si="2"/>
        <v>#REF!</v>
      </c>
      <c r="R26" s="49">
        <f t="shared" si="2"/>
        <v>10.6546</v>
      </c>
      <c r="S26" s="48" t="e">
        <f t="shared" si="2"/>
        <v>#REF!</v>
      </c>
      <c r="T26" s="48" t="e">
        <f t="shared" si="2"/>
        <v>#REF!</v>
      </c>
      <c r="U26" s="49">
        <f>U27+U28</f>
        <v>16.759292000000002</v>
      </c>
      <c r="V26" s="48" t="e">
        <f t="shared" si="2"/>
        <v>#REF!</v>
      </c>
      <c r="W26" s="48" t="e">
        <f t="shared" si="2"/>
        <v>#REF!</v>
      </c>
      <c r="X26" s="48">
        <f t="shared" si="2"/>
        <v>40.375652650000006</v>
      </c>
      <c r="Y26" s="50" t="e">
        <f t="shared" si="2"/>
        <v>#REF!</v>
      </c>
      <c r="Z26" s="50" t="e">
        <f t="shared" si="2"/>
        <v>#REF!</v>
      </c>
      <c r="AA26" s="23" t="e">
        <f>AB26+#REF!</f>
        <v>#REF!</v>
      </c>
      <c r="AB26" s="51">
        <f>AB28</f>
        <v>3.676</v>
      </c>
      <c r="AC26" s="22">
        <f>AD26+AE26+AF26+AG26</f>
        <v>57.49220769</v>
      </c>
      <c r="AD26" s="22">
        <f>AD28</f>
        <v>9.0185</v>
      </c>
      <c r="AE26" s="22">
        <f>AE28</f>
        <v>25.43920769</v>
      </c>
      <c r="AF26" s="22">
        <f>AF28</f>
        <v>13.6095</v>
      </c>
      <c r="AG26" s="22">
        <f>AG28</f>
        <v>9.425</v>
      </c>
      <c r="AH26" s="22">
        <f>AH28</f>
        <v>13.936999999999998</v>
      </c>
      <c r="AI26" s="22">
        <f aca="true" t="shared" si="3" ref="AI26:AI42">E26-D26</f>
        <v>22.28473817000001</v>
      </c>
      <c r="AJ26" s="24">
        <f t="shared" si="1"/>
        <v>146.18534259999532</v>
      </c>
      <c r="AK26" s="32"/>
      <c r="AL26" s="25"/>
      <c r="AM26" s="25"/>
      <c r="AP26" s="52" t="s">
        <v>48</v>
      </c>
    </row>
    <row r="27" spans="1:42" ht="43.5" customHeight="1">
      <c r="A27" s="53">
        <v>42006</v>
      </c>
      <c r="B27" s="54" t="s">
        <v>41</v>
      </c>
      <c r="C27" s="48"/>
      <c r="D27" s="48"/>
      <c r="E27" s="22"/>
      <c r="F27" s="48"/>
      <c r="G27" s="49"/>
      <c r="H27" s="48"/>
      <c r="I27" s="49"/>
      <c r="J27" s="49"/>
      <c r="K27" s="49"/>
      <c r="L27" s="49"/>
      <c r="M27" s="48"/>
      <c r="N27" s="22"/>
      <c r="O27" s="49"/>
      <c r="P27" s="49"/>
      <c r="Q27" s="49"/>
      <c r="R27" s="49"/>
      <c r="S27" s="48"/>
      <c r="T27" s="48"/>
      <c r="U27" s="49"/>
      <c r="V27" s="48"/>
      <c r="W27" s="48"/>
      <c r="X27" s="48"/>
      <c r="Y27" s="50"/>
      <c r="Z27" s="50"/>
      <c r="AA27" s="23"/>
      <c r="AB27" s="51"/>
      <c r="AC27" s="22"/>
      <c r="AD27" s="22"/>
      <c r="AE27" s="31"/>
      <c r="AF27" s="22"/>
      <c r="AG27" s="22"/>
      <c r="AH27" s="22"/>
      <c r="AI27" s="22"/>
      <c r="AJ27" s="24"/>
      <c r="AK27" s="32"/>
      <c r="AL27" s="25"/>
      <c r="AM27" s="55"/>
      <c r="AP27" s="56"/>
    </row>
    <row r="28" spans="1:42" ht="29.25" customHeight="1">
      <c r="A28" s="53">
        <v>42037</v>
      </c>
      <c r="B28" s="57" t="s">
        <v>49</v>
      </c>
      <c r="C28" s="58">
        <f>SUM(C29:C33)</f>
        <v>48.25019999999999</v>
      </c>
      <c r="D28" s="58">
        <f>SUM(D29:D33)</f>
        <v>48.250671999999994</v>
      </c>
      <c r="E28" s="22">
        <f aca="true" t="shared" si="4" ref="E28:E33">G28+I28+K28+M28</f>
        <v>70.53541017</v>
      </c>
      <c r="F28" s="58">
        <f>SUM(F29:F33)</f>
        <v>4.35538</v>
      </c>
      <c r="G28" s="59">
        <f>SUM(G29:G33)</f>
        <v>3.676</v>
      </c>
      <c r="H28" s="58">
        <f>SUM(H29:H33)</f>
        <v>12.222439999999999</v>
      </c>
      <c r="I28" s="59">
        <f>SUM(I29:I33)</f>
        <v>11.689</v>
      </c>
      <c r="J28" s="58">
        <f>SUM(J29:J33)</f>
        <v>12.22303</v>
      </c>
      <c r="K28" s="59">
        <f>K29+K30+K31+K32+K33</f>
        <v>32.5234</v>
      </c>
      <c r="L28" s="58">
        <f>SUM(L29:L33)</f>
        <v>19.449822</v>
      </c>
      <c r="M28" s="58">
        <f>SUM(M29:M33)</f>
        <v>22.64701017</v>
      </c>
      <c r="N28" s="22">
        <f>N29+N30+N31+N32+N33</f>
        <v>81.07697399999999</v>
      </c>
      <c r="O28" s="59">
        <f aca="true" t="shared" si="5" ref="O28:Z28">SUM(O29:O33)</f>
        <v>39.168425</v>
      </c>
      <c r="P28" s="58" t="e">
        <f t="shared" si="5"/>
        <v>#REF!</v>
      </c>
      <c r="Q28" s="58" t="e">
        <f t="shared" si="5"/>
        <v>#REF!</v>
      </c>
      <c r="R28" s="59">
        <f t="shared" si="5"/>
        <v>10.6546</v>
      </c>
      <c r="S28" s="58" t="e">
        <f t="shared" si="5"/>
        <v>#REF!</v>
      </c>
      <c r="T28" s="58" t="e">
        <f t="shared" si="5"/>
        <v>#REF!</v>
      </c>
      <c r="U28" s="59">
        <f>U29+U30+U31+U32+U33</f>
        <v>16.759292000000002</v>
      </c>
      <c r="V28" s="58" t="e">
        <f t="shared" si="5"/>
        <v>#REF!</v>
      </c>
      <c r="W28" s="58" t="e">
        <f t="shared" si="5"/>
        <v>#REF!</v>
      </c>
      <c r="X28" s="58">
        <f>SUM(X29:X33)</f>
        <v>40.375652650000006</v>
      </c>
      <c r="Y28" s="60" t="e">
        <f t="shared" si="5"/>
        <v>#REF!</v>
      </c>
      <c r="Z28" s="60" t="e">
        <f t="shared" si="5"/>
        <v>#REF!</v>
      </c>
      <c r="AA28" s="23" t="e">
        <f>AB28+#REF!</f>
        <v>#REF!</v>
      </c>
      <c r="AB28" s="61">
        <f>SUM(AB29:AB33)</f>
        <v>3.676</v>
      </c>
      <c r="AC28" s="58">
        <f>AD28+AE28+AF28+AG28</f>
        <v>57.49220769</v>
      </c>
      <c r="AD28" s="58">
        <f>AD29+AD30+AD31+AD32+AD33</f>
        <v>9.0185</v>
      </c>
      <c r="AE28" s="58">
        <f>AE29+AE30+AE31+AE32+AE33</f>
        <v>25.43920769</v>
      </c>
      <c r="AF28" s="59">
        <f>AF31</f>
        <v>13.6095</v>
      </c>
      <c r="AG28" s="58">
        <f>AG29+AG30+AG31+AG32+AG33</f>
        <v>9.425</v>
      </c>
      <c r="AH28" s="22">
        <f>AH33+AH34</f>
        <v>13.936999999999998</v>
      </c>
      <c r="AI28" s="22">
        <f t="shared" si="3"/>
        <v>22.28473817000001</v>
      </c>
      <c r="AJ28" s="24">
        <f t="shared" si="1"/>
        <v>146.18534259999532</v>
      </c>
      <c r="AK28" s="62"/>
      <c r="AL28" s="62"/>
      <c r="AM28" s="62"/>
      <c r="AN28" s="63"/>
      <c r="AP28" s="63"/>
    </row>
    <row r="29" spans="1:42" ht="63" customHeight="1">
      <c r="A29" s="34" t="s">
        <v>50</v>
      </c>
      <c r="B29" s="64" t="s">
        <v>51</v>
      </c>
      <c r="C29" s="60">
        <f>2.638*1.18</f>
        <v>3.11284</v>
      </c>
      <c r="D29" s="60">
        <f>L29</f>
        <v>3.11284</v>
      </c>
      <c r="E29" s="22">
        <f t="shared" si="4"/>
        <v>1.2577</v>
      </c>
      <c r="F29" s="65"/>
      <c r="G29" s="65"/>
      <c r="H29" s="65"/>
      <c r="I29" s="65"/>
      <c r="J29" s="65"/>
      <c r="K29" s="65">
        <v>0.3774</v>
      </c>
      <c r="L29" s="65">
        <f>2.638*1.18</f>
        <v>3.11284</v>
      </c>
      <c r="M29" s="65">
        <f>1.9244-1.0441</f>
        <v>0.8803000000000001</v>
      </c>
      <c r="N29" s="22">
        <v>2.192627</v>
      </c>
      <c r="O29" s="65"/>
      <c r="P29" s="65"/>
      <c r="Q29" s="65"/>
      <c r="R29" s="65"/>
      <c r="S29" s="60"/>
      <c r="T29" s="60"/>
      <c r="U29" s="65">
        <v>2.184</v>
      </c>
      <c r="V29" s="60"/>
      <c r="W29" s="60"/>
      <c r="X29" s="60">
        <v>0.00858664</v>
      </c>
      <c r="Y29" s="60" t="e">
        <f>#REF!</f>
        <v>#REF!</v>
      </c>
      <c r="Z29" s="60"/>
      <c r="AA29" s="23"/>
      <c r="AB29" s="66"/>
      <c r="AC29" s="58">
        <f>AD29+AE29+AF29+AG29</f>
        <v>2.21512716</v>
      </c>
      <c r="AD29" s="60"/>
      <c r="AE29" s="31">
        <v>2.21512716</v>
      </c>
      <c r="AF29" s="65"/>
      <c r="AG29" s="60"/>
      <c r="AH29" s="22">
        <v>0</v>
      </c>
      <c r="AI29" s="22">
        <f t="shared" si="3"/>
        <v>-1.8551399999999998</v>
      </c>
      <c r="AJ29" s="24">
        <f>E29*100/D29</f>
        <v>40.40361856054279</v>
      </c>
      <c r="AK29" s="67"/>
      <c r="AL29" s="67"/>
      <c r="AM29" s="52" t="s">
        <v>52</v>
      </c>
      <c r="AN29" s="68"/>
      <c r="AP29" s="68"/>
    </row>
    <row r="30" spans="1:42" ht="37.5">
      <c r="A30" s="34" t="s">
        <v>53</v>
      </c>
      <c r="B30" s="64" t="s">
        <v>54</v>
      </c>
      <c r="C30" s="60">
        <f>3.491*1.18</f>
        <v>4.11938</v>
      </c>
      <c r="D30" s="60">
        <f>L30</f>
        <v>4.11938</v>
      </c>
      <c r="E30" s="22">
        <f t="shared" si="4"/>
        <v>4.1571</v>
      </c>
      <c r="F30" s="65"/>
      <c r="G30" s="65"/>
      <c r="H30" s="65"/>
      <c r="I30" s="65"/>
      <c r="J30" s="65"/>
      <c r="K30" s="65">
        <v>1.247</v>
      </c>
      <c r="L30" s="65">
        <f>3.491*1.18</f>
        <v>4.11938</v>
      </c>
      <c r="M30" s="65">
        <f>1.866+1.0441</f>
        <v>2.9101</v>
      </c>
      <c r="N30" s="22">
        <v>3.539898</v>
      </c>
      <c r="O30" s="65"/>
      <c r="P30" s="65"/>
      <c r="Q30" s="65"/>
      <c r="R30" s="65"/>
      <c r="S30" s="60"/>
      <c r="T30" s="60"/>
      <c r="U30" s="65">
        <v>3.5399</v>
      </c>
      <c r="V30" s="60"/>
      <c r="W30" s="60"/>
      <c r="X30" s="60"/>
      <c r="Y30" s="60" t="e">
        <f>#REF!</f>
        <v>#REF!</v>
      </c>
      <c r="Z30" s="60"/>
      <c r="AA30" s="23"/>
      <c r="AB30" s="66"/>
      <c r="AC30" s="58">
        <f>AD30+AE30+AF30+AG30</f>
        <v>3.54039841</v>
      </c>
      <c r="AD30" s="60"/>
      <c r="AE30" s="31">
        <v>3.54039841</v>
      </c>
      <c r="AF30" s="65"/>
      <c r="AG30" s="60"/>
      <c r="AH30" s="22">
        <v>0</v>
      </c>
      <c r="AI30" s="22">
        <f t="shared" si="3"/>
        <v>0.0377200000000002</v>
      </c>
      <c r="AJ30" s="24">
        <v>19</v>
      </c>
      <c r="AK30" s="67"/>
      <c r="AL30" s="67"/>
      <c r="AM30" s="126" t="s">
        <v>126</v>
      </c>
      <c r="AN30" s="68"/>
      <c r="AP30" s="68"/>
    </row>
    <row r="31" spans="1:42" ht="93.75">
      <c r="A31" s="34" t="s">
        <v>55</v>
      </c>
      <c r="B31" s="64" t="s">
        <v>56</v>
      </c>
      <c r="C31" s="60">
        <f>13.914*1.18</f>
        <v>16.418519999999997</v>
      </c>
      <c r="D31" s="60">
        <f>F31+H31+J31+L31</f>
        <v>16.418992</v>
      </c>
      <c r="E31" s="22">
        <f>G31+I31+K31+M31</f>
        <v>48.50761017000001</v>
      </c>
      <c r="F31" s="60">
        <f>3.479*1.18</f>
        <v>4.10522</v>
      </c>
      <c r="G31" s="65">
        <v>3.422</v>
      </c>
      <c r="H31" s="60">
        <f>3.479*1.18</f>
        <v>4.10522</v>
      </c>
      <c r="I31" s="65">
        <v>11.689</v>
      </c>
      <c r="J31" s="65">
        <f>3.4795*1.18</f>
        <v>4.10581</v>
      </c>
      <c r="K31" s="65">
        <v>15.653</v>
      </c>
      <c r="L31" s="65">
        <f>3.4769*1.18</f>
        <v>4.102742</v>
      </c>
      <c r="M31" s="65">
        <f>14.62+2+0.725+2.282+0.384-M45-M52-M54</f>
        <v>17.74361017</v>
      </c>
      <c r="N31" s="22">
        <f>63.39322</f>
        <v>63.39322</v>
      </c>
      <c r="O31" s="65">
        <f>29.893-2.071-0.012035</f>
        <v>27.809965</v>
      </c>
      <c r="P31" s="59"/>
      <c r="Q31" s="65" t="e">
        <f>#REF!</f>
        <v>#REF!</v>
      </c>
      <c r="R31" s="65">
        <f>11.765-0.028-0.0661-R32-1.09</f>
        <v>10.510504</v>
      </c>
      <c r="S31" s="60"/>
      <c r="T31" s="60" t="e">
        <f>#REF!</f>
        <v>#REF!</v>
      </c>
      <c r="U31" s="65">
        <f>10.1082-U32+0.001+0.009-0.0178+0.4805+0.153957+0.01</f>
        <v>10.585737</v>
      </c>
      <c r="V31" s="60"/>
      <c r="W31" s="60" t="e">
        <f>#REF!</f>
        <v>#REF!</v>
      </c>
      <c r="X31" s="58">
        <f>29.893+0.02475+0.27447001-1.182</f>
        <v>29.010220010000005</v>
      </c>
      <c r="Y31" s="58"/>
      <c r="Z31" s="58" t="e">
        <f>#REF!</f>
        <v>#REF!</v>
      </c>
      <c r="AA31" s="37" t="e">
        <f>AB31+#REF!</f>
        <v>#REF!</v>
      </c>
      <c r="AB31" s="66">
        <v>3.422</v>
      </c>
      <c r="AC31" s="58">
        <f>AD31+AE31+AF31+AG31</f>
        <v>51.73668212</v>
      </c>
      <c r="AD31" s="60">
        <v>9.0185</v>
      </c>
      <c r="AE31" s="31">
        <f>19.40985499+0.26382713+0.01</f>
        <v>19.68368212</v>
      </c>
      <c r="AF31" s="65">
        <f>12.6575+0.952</f>
        <v>13.6095</v>
      </c>
      <c r="AG31" s="65">
        <v>9.425</v>
      </c>
      <c r="AH31" s="22">
        <v>0</v>
      </c>
      <c r="AI31" s="22">
        <f t="shared" si="3"/>
        <v>32.088618170000004</v>
      </c>
      <c r="AJ31" s="24">
        <f>E31*100/D31</f>
        <v>295.4359815145778</v>
      </c>
      <c r="AK31" s="67"/>
      <c r="AL31" s="67"/>
      <c r="AM31" s="52" t="s">
        <v>48</v>
      </c>
      <c r="AN31" s="68"/>
      <c r="AP31" s="68"/>
    </row>
    <row r="32" spans="1:42" ht="63">
      <c r="A32" s="34" t="s">
        <v>57</v>
      </c>
      <c r="B32" s="64" t="s">
        <v>58</v>
      </c>
      <c r="C32" s="60">
        <f>0.847*1.18</f>
        <v>0.9994599999999999</v>
      </c>
      <c r="D32" s="60">
        <f>F32+H32+J32+L32</f>
        <v>0.99946</v>
      </c>
      <c r="E32" s="22">
        <f t="shared" si="4"/>
        <v>1.226</v>
      </c>
      <c r="F32" s="60">
        <f>0.212*1.18</f>
        <v>0.25016</v>
      </c>
      <c r="G32" s="65">
        <v>0.254</v>
      </c>
      <c r="H32" s="60">
        <f>0.212*1.18</f>
        <v>0.25016</v>
      </c>
      <c r="I32" s="65"/>
      <c r="J32" s="65">
        <f>0.212*1.18</f>
        <v>0.25016</v>
      </c>
      <c r="K32" s="65">
        <v>0.178</v>
      </c>
      <c r="L32" s="65">
        <f>0.211*1.18</f>
        <v>0.24897999999999998</v>
      </c>
      <c r="M32" s="58">
        <f>0.299+0.495</f>
        <v>0.794</v>
      </c>
      <c r="N32" s="22">
        <v>1.46048</v>
      </c>
      <c r="O32" s="65">
        <v>1.23</v>
      </c>
      <c r="P32" s="65" t="e">
        <f>#REF!</f>
        <v>#REF!</v>
      </c>
      <c r="Q32" s="65"/>
      <c r="R32" s="65">
        <v>0.070396</v>
      </c>
      <c r="S32" s="60" t="e">
        <f>#REF!</f>
        <v>#REF!</v>
      </c>
      <c r="T32" s="60"/>
      <c r="U32" s="65">
        <v>0.15912</v>
      </c>
      <c r="V32" s="60" t="e">
        <f>#REF!</f>
        <v>#REF!</v>
      </c>
      <c r="W32" s="60"/>
      <c r="X32" s="58">
        <v>1.23</v>
      </c>
      <c r="Y32" s="58" t="e">
        <f>#REF!</f>
        <v>#REF!</v>
      </c>
      <c r="Z32" s="58"/>
      <c r="AA32" s="37" t="e">
        <f>AB32+#REF!</f>
        <v>#REF!</v>
      </c>
      <c r="AB32" s="66">
        <v>0.254</v>
      </c>
      <c r="AC32" s="58"/>
      <c r="AD32" s="58"/>
      <c r="AE32" s="31"/>
      <c r="AF32" s="59"/>
      <c r="AG32" s="58"/>
      <c r="AH32" s="22">
        <v>0</v>
      </c>
      <c r="AI32" s="22">
        <f>E32-D32</f>
        <v>0.22653999999999996</v>
      </c>
      <c r="AJ32" s="24">
        <f>E32*100/D32</f>
        <v>122.66623976947551</v>
      </c>
      <c r="AK32" s="62"/>
      <c r="AL32" s="62"/>
      <c r="AM32" s="52" t="s">
        <v>48</v>
      </c>
      <c r="AN32" s="63"/>
      <c r="AP32" s="63"/>
    </row>
    <row r="33" spans="1:42" ht="56.25">
      <c r="A33" s="34" t="s">
        <v>59</v>
      </c>
      <c r="B33" s="64" t="s">
        <v>60</v>
      </c>
      <c r="C33" s="60">
        <f>20*1.18</f>
        <v>23.599999999999998</v>
      </c>
      <c r="D33" s="60">
        <f>H33+J33+L33</f>
        <v>23.599999999999998</v>
      </c>
      <c r="E33" s="22">
        <f t="shared" si="4"/>
        <v>15.387</v>
      </c>
      <c r="F33" s="65"/>
      <c r="G33" s="65"/>
      <c r="H33" s="65">
        <f>6.667*1.18</f>
        <v>7.8670599999999995</v>
      </c>
      <c r="I33" s="65"/>
      <c r="J33" s="65">
        <f>6.667*1.18</f>
        <v>7.8670599999999995</v>
      </c>
      <c r="K33" s="65">
        <v>15.068</v>
      </c>
      <c r="L33" s="65">
        <f>6.666*1.18</f>
        <v>7.86588</v>
      </c>
      <c r="M33" s="60">
        <f>0.415-0.096</f>
        <v>0.31899999999999995</v>
      </c>
      <c r="N33" s="22">
        <v>10.490749</v>
      </c>
      <c r="O33" s="65">
        <v>10.12846</v>
      </c>
      <c r="P33" s="65"/>
      <c r="Q33" s="65"/>
      <c r="R33" s="65">
        <v>0.0737</v>
      </c>
      <c r="S33" s="60" t="e">
        <f>#REF!</f>
        <v>#REF!</v>
      </c>
      <c r="T33" s="60"/>
      <c r="U33" s="65">
        <v>0.290535</v>
      </c>
      <c r="V33" s="60" t="e">
        <f>#REF!</f>
        <v>#REF!</v>
      </c>
      <c r="W33" s="60"/>
      <c r="X33" s="60">
        <v>10.126846</v>
      </c>
      <c r="Y33" s="60" t="e">
        <f>#REF!</f>
        <v>#REF!</v>
      </c>
      <c r="Z33" s="60"/>
      <c r="AA33" s="37"/>
      <c r="AB33" s="66"/>
      <c r="AC33" s="58"/>
      <c r="AD33" s="60"/>
      <c r="AE33" s="31"/>
      <c r="AF33" s="65"/>
      <c r="AG33" s="60"/>
      <c r="AH33" s="22">
        <f>D33-E33</f>
        <v>8.212999999999997</v>
      </c>
      <c r="AI33" s="22">
        <f t="shared" si="3"/>
        <v>-8.212999999999997</v>
      </c>
      <c r="AJ33" s="24">
        <f>E33*100/D33</f>
        <v>65.19915254237289</v>
      </c>
      <c r="AK33" s="67"/>
      <c r="AL33" s="67"/>
      <c r="AM33" s="67" t="s">
        <v>61</v>
      </c>
      <c r="AN33" s="68"/>
      <c r="AP33" s="68"/>
    </row>
    <row r="34" spans="1:42" ht="18.75">
      <c r="A34" s="52" t="s">
        <v>62</v>
      </c>
      <c r="B34" s="69" t="s">
        <v>63</v>
      </c>
      <c r="C34" s="30"/>
      <c r="D34" s="30"/>
      <c r="E34" s="22">
        <f>G34+I34+K34+M34</f>
        <v>53.86157373</v>
      </c>
      <c r="F34" s="31"/>
      <c r="G34" s="31">
        <f>G35+G37+G38+G39+G40+G41+G42+G43+G44+G45+G46+G47+G48+G49+G57</f>
        <v>22.986</v>
      </c>
      <c r="H34" s="31"/>
      <c r="I34" s="31">
        <f>I35+I37+I40+I55+I56</f>
        <v>21.958000000000006</v>
      </c>
      <c r="J34" s="31"/>
      <c r="K34" s="31">
        <f>K37</f>
        <v>2.372</v>
      </c>
      <c r="L34" s="31"/>
      <c r="M34" s="31">
        <f>M37+M36+M45+M52+M53+M54</f>
        <v>6.545573730000001</v>
      </c>
      <c r="N34" s="22">
        <f>N35+N36+N37+N38+N39+N40+N41+N42+N43+N44+N45+N46+N47+N48+N49+N50+N51+N52+N53+N54+N57</f>
        <v>51.380887789999996</v>
      </c>
      <c r="O34" s="22">
        <f>O35+O36+O37+O38+O39+O40+O41+O42+O43+O44+O45+O46+O47+O48+O49+O50+O51+O52+O53+O54+O57</f>
        <v>15.812279700000001</v>
      </c>
      <c r="P34" s="31"/>
      <c r="Q34" s="31"/>
      <c r="R34" s="31">
        <f>SUM(R35:T44)</f>
        <v>3.8017000000000003</v>
      </c>
      <c r="S34" s="31"/>
      <c r="T34" s="31"/>
      <c r="U34" s="31">
        <f>SUM(U35:W57)</f>
        <v>27.648020999999996</v>
      </c>
      <c r="V34" s="31">
        <f>SUM(V35:W57)</f>
        <v>0</v>
      </c>
      <c r="W34" s="31">
        <f>SUM(W35:X57)</f>
        <v>13.98491378</v>
      </c>
      <c r="X34" s="31">
        <f>SUM(X35:Z57)</f>
        <v>13.98491378</v>
      </c>
      <c r="Y34" s="31"/>
      <c r="Z34" s="31"/>
      <c r="AA34" s="37" t="e">
        <f>AB34+#REF!</f>
        <v>#REF!</v>
      </c>
      <c r="AB34" s="37">
        <f>SUM(AB35:AB41)</f>
        <v>22.485643</v>
      </c>
      <c r="AC34" s="22">
        <f>AD34+AE34+AF34+AG34</f>
        <v>48.69576844</v>
      </c>
      <c r="AD34" s="31">
        <f>SUM(AD35:AD41)</f>
        <v>4.4272</v>
      </c>
      <c r="AE34" s="31">
        <f>SUM(AE35:AE57)</f>
        <v>39.507493440000005</v>
      </c>
      <c r="AF34" s="70">
        <f>SUM(AF35:AF57)</f>
        <v>4.364075</v>
      </c>
      <c r="AG34" s="31">
        <f>SUM(AG35:AG40)</f>
        <v>0.397</v>
      </c>
      <c r="AH34" s="22">
        <f>AH37+AH40</f>
        <v>5.723999999999999</v>
      </c>
      <c r="AI34" s="22">
        <f t="shared" si="3"/>
        <v>53.86157373</v>
      </c>
      <c r="AJ34" s="24">
        <v>100</v>
      </c>
      <c r="AK34" s="71"/>
      <c r="AL34" s="71"/>
      <c r="AM34" s="71"/>
      <c r="AP34" s="15"/>
    </row>
    <row r="35" spans="1:39" ht="37.5" outlineLevel="1">
      <c r="A35" s="52" t="s">
        <v>64</v>
      </c>
      <c r="B35" s="69" t="s">
        <v>65</v>
      </c>
      <c r="C35" s="72"/>
      <c r="D35" s="30"/>
      <c r="E35" s="22">
        <f>G35+I35+K35</f>
        <v>39.8</v>
      </c>
      <c r="F35" s="31"/>
      <c r="G35" s="31">
        <v>21.2</v>
      </c>
      <c r="H35" s="31"/>
      <c r="I35" s="31">
        <v>18.6</v>
      </c>
      <c r="J35" s="31"/>
      <c r="K35" s="70"/>
      <c r="L35" s="31"/>
      <c r="M35" s="31"/>
      <c r="N35" s="22">
        <v>23.767436</v>
      </c>
      <c r="O35" s="31">
        <v>0.0120351</v>
      </c>
      <c r="P35" s="31"/>
      <c r="Q35" s="31"/>
      <c r="R35" s="31"/>
      <c r="S35" s="31"/>
      <c r="T35" s="31"/>
      <c r="U35" s="70">
        <v>23.755083</v>
      </c>
      <c r="V35" s="31"/>
      <c r="W35" s="31"/>
      <c r="X35" s="31">
        <v>0.012035</v>
      </c>
      <c r="Y35" s="31"/>
      <c r="Z35" s="31"/>
      <c r="AA35" s="23" t="e">
        <f>AB35+#REF!</f>
        <v>#REF!</v>
      </c>
      <c r="AB35" s="37">
        <f>11.2+10</f>
        <v>21.2</v>
      </c>
      <c r="AC35" s="22">
        <f aca="true" t="shared" si="6" ref="AC35:AC57">AD35+AE35+AF35+AG35</f>
        <v>23.76711813</v>
      </c>
      <c r="AD35" s="31"/>
      <c r="AE35" s="31">
        <v>23.76711813</v>
      </c>
      <c r="AF35" s="70"/>
      <c r="AG35" s="73"/>
      <c r="AH35" s="22">
        <v>0</v>
      </c>
      <c r="AI35" s="22">
        <f t="shared" si="3"/>
        <v>39.8</v>
      </c>
      <c r="AJ35" s="24">
        <v>100</v>
      </c>
      <c r="AK35" s="15"/>
      <c r="AL35" s="15"/>
      <c r="AM35" s="74" t="s">
        <v>66</v>
      </c>
    </row>
    <row r="36" spans="1:39" ht="37.5" outlineLevel="1">
      <c r="A36" s="52" t="s">
        <v>67</v>
      </c>
      <c r="B36" s="69" t="s">
        <v>68</v>
      </c>
      <c r="C36" s="72"/>
      <c r="D36" s="30"/>
      <c r="E36" s="22">
        <f>M36</f>
        <v>1.199</v>
      </c>
      <c r="F36" s="31"/>
      <c r="G36" s="31"/>
      <c r="H36" s="31"/>
      <c r="I36" s="31"/>
      <c r="J36" s="31"/>
      <c r="K36" s="70"/>
      <c r="L36" s="31"/>
      <c r="M36" s="31">
        <v>1.199</v>
      </c>
      <c r="N36" s="22">
        <f>O36</f>
        <v>1.199</v>
      </c>
      <c r="O36" s="31">
        <v>1.199</v>
      </c>
      <c r="P36" s="31"/>
      <c r="Q36" s="31"/>
      <c r="R36" s="31"/>
      <c r="S36" s="31"/>
      <c r="T36" s="31"/>
      <c r="U36" s="70"/>
      <c r="V36" s="31"/>
      <c r="W36" s="31"/>
      <c r="X36" s="31"/>
      <c r="Y36" s="31"/>
      <c r="Z36" s="31"/>
      <c r="AA36" s="23"/>
      <c r="AB36" s="37"/>
      <c r="AC36" s="22">
        <f t="shared" si="6"/>
        <v>1.199</v>
      </c>
      <c r="AD36" s="31"/>
      <c r="AE36" s="31">
        <v>1.199</v>
      </c>
      <c r="AF36" s="70"/>
      <c r="AG36" s="73"/>
      <c r="AH36" s="22">
        <v>0</v>
      </c>
      <c r="AI36" s="22">
        <f t="shared" si="3"/>
        <v>1.199</v>
      </c>
      <c r="AJ36" s="24">
        <v>100</v>
      </c>
      <c r="AK36" s="15"/>
      <c r="AL36" s="15"/>
      <c r="AM36" s="124" t="s">
        <v>127</v>
      </c>
    </row>
    <row r="37" spans="1:39" ht="31.5" outlineLevel="1">
      <c r="A37" s="52" t="s">
        <v>69</v>
      </c>
      <c r="B37" s="69" t="s">
        <v>70</v>
      </c>
      <c r="C37" s="72"/>
      <c r="D37" s="30"/>
      <c r="E37" s="22">
        <f>G37+I37+K37+M37</f>
        <v>5.758</v>
      </c>
      <c r="F37" s="31"/>
      <c r="G37" s="31">
        <v>1.286</v>
      </c>
      <c r="H37" s="31"/>
      <c r="I37" s="31">
        <v>0.392</v>
      </c>
      <c r="J37" s="31"/>
      <c r="K37" s="31">
        <v>2.372</v>
      </c>
      <c r="L37" s="31"/>
      <c r="M37" s="31">
        <v>1.708</v>
      </c>
      <c r="N37" s="22">
        <f>15.248111-1.199</f>
        <v>14.049111</v>
      </c>
      <c r="O37" s="31">
        <f>10.147-1.199</f>
        <v>8.948</v>
      </c>
      <c r="P37" s="31"/>
      <c r="Q37" s="31"/>
      <c r="R37" s="31">
        <v>0.407</v>
      </c>
      <c r="S37" s="31"/>
      <c r="T37" s="31"/>
      <c r="U37" s="31">
        <f>0.9521-0.01</f>
        <v>0.9420999999999999</v>
      </c>
      <c r="V37" s="31"/>
      <c r="W37" s="31"/>
      <c r="X37" s="31">
        <f>10.147-0.627-0.048</f>
        <v>9.472</v>
      </c>
      <c r="Y37" s="31"/>
      <c r="Z37" s="31"/>
      <c r="AA37" s="23" t="e">
        <f>AB37+#REF!</f>
        <v>#REF!</v>
      </c>
      <c r="AB37" s="37">
        <f>1.002+0.283643</f>
        <v>1.2856429999999999</v>
      </c>
      <c r="AC37" s="22">
        <f>AD37+AE37+AF37+AG37</f>
        <v>14.735201</v>
      </c>
      <c r="AD37" s="31">
        <v>4.4272</v>
      </c>
      <c r="AE37" s="125">
        <f>10.157901-1.199</f>
        <v>8.958901000000001</v>
      </c>
      <c r="AF37" s="70">
        <v>0.9521</v>
      </c>
      <c r="AG37" s="73">
        <v>0.397</v>
      </c>
      <c r="AH37" s="22">
        <f>9.488-E37</f>
        <v>3.7299999999999995</v>
      </c>
      <c r="AI37" s="22">
        <f t="shared" si="3"/>
        <v>5.758</v>
      </c>
      <c r="AJ37" s="24">
        <v>100</v>
      </c>
      <c r="AK37" s="15"/>
      <c r="AL37" s="15"/>
      <c r="AM37" s="124" t="s">
        <v>128</v>
      </c>
    </row>
    <row r="38" spans="1:39" ht="18.75" outlineLevel="1">
      <c r="A38" s="52" t="s">
        <v>71</v>
      </c>
      <c r="B38" s="69" t="s">
        <v>72</v>
      </c>
      <c r="C38" s="72"/>
      <c r="D38" s="30"/>
      <c r="E38" s="22">
        <f>G38+I38+K38+M38</f>
        <v>0.5</v>
      </c>
      <c r="F38" s="31"/>
      <c r="G38" s="31">
        <v>0.5</v>
      </c>
      <c r="H38" s="31"/>
      <c r="I38" s="31"/>
      <c r="J38" s="31"/>
      <c r="K38" s="31"/>
      <c r="L38" s="31"/>
      <c r="M38" s="31"/>
      <c r="N38" s="22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23"/>
      <c r="AB38" s="37"/>
      <c r="AC38" s="22"/>
      <c r="AD38" s="31"/>
      <c r="AE38" s="31"/>
      <c r="AF38" s="70"/>
      <c r="AG38" s="73"/>
      <c r="AH38" s="22">
        <v>0</v>
      </c>
      <c r="AI38" s="22">
        <f t="shared" si="3"/>
        <v>0.5</v>
      </c>
      <c r="AJ38" s="24">
        <v>100</v>
      </c>
      <c r="AK38" s="15"/>
      <c r="AL38" s="15"/>
      <c r="AM38" s="74"/>
    </row>
    <row r="39" spans="1:39" ht="47.25" outlineLevel="1">
      <c r="A39" s="52" t="s">
        <v>73</v>
      </c>
      <c r="B39" s="69" t="s">
        <v>74</v>
      </c>
      <c r="C39" s="72"/>
      <c r="D39" s="30"/>
      <c r="E39" s="22"/>
      <c r="F39" s="31"/>
      <c r="G39" s="31"/>
      <c r="H39" s="31"/>
      <c r="I39" s="31"/>
      <c r="J39" s="31"/>
      <c r="K39" s="31"/>
      <c r="L39" s="31"/>
      <c r="M39" s="31"/>
      <c r="N39" s="22">
        <v>1.755278</v>
      </c>
      <c r="O39" s="31">
        <v>1.1515</v>
      </c>
      <c r="P39" s="31"/>
      <c r="Q39" s="31"/>
      <c r="R39" s="31"/>
      <c r="S39" s="31"/>
      <c r="T39" s="31"/>
      <c r="U39" s="31">
        <f>0.136+0.47292</f>
        <v>0.60892</v>
      </c>
      <c r="V39" s="31"/>
      <c r="W39" s="31"/>
      <c r="X39" s="31">
        <v>0.167311</v>
      </c>
      <c r="Y39" s="31"/>
      <c r="Z39" s="31"/>
      <c r="AA39" s="23"/>
      <c r="AB39" s="75"/>
      <c r="AC39" s="22">
        <f t="shared" si="6"/>
        <v>1.76043571</v>
      </c>
      <c r="AD39" s="31"/>
      <c r="AE39" s="31">
        <f>0.35490705+1.40552866</f>
        <v>1.76043571</v>
      </c>
      <c r="AF39" s="70"/>
      <c r="AG39" s="73"/>
      <c r="AH39" s="22">
        <f>D39-E39</f>
        <v>0</v>
      </c>
      <c r="AI39" s="22">
        <f t="shared" si="3"/>
        <v>0</v>
      </c>
      <c r="AJ39" s="24">
        <v>0</v>
      </c>
      <c r="AK39" s="15"/>
      <c r="AL39" s="15"/>
      <c r="AM39" s="74" t="s">
        <v>75</v>
      </c>
    </row>
    <row r="40" spans="1:39" ht="18.75" outlineLevel="1">
      <c r="A40" s="76" t="s">
        <v>76</v>
      </c>
      <c r="B40" s="69" t="s">
        <v>77</v>
      </c>
      <c r="C40" s="77"/>
      <c r="D40" s="78"/>
      <c r="E40" s="22">
        <f aca="true" t="shared" si="7" ref="E40:E56">G40+I40+K40+M40</f>
        <v>1.33</v>
      </c>
      <c r="F40" s="79"/>
      <c r="G40" s="80"/>
      <c r="H40" s="79"/>
      <c r="I40" s="79">
        <v>1.33</v>
      </c>
      <c r="J40" s="79"/>
      <c r="K40" s="81"/>
      <c r="L40" s="79"/>
      <c r="M40" s="79"/>
      <c r="N40" s="22">
        <v>2.818091</v>
      </c>
      <c r="O40" s="31">
        <v>0.512395</v>
      </c>
      <c r="P40" s="80"/>
      <c r="Q40" s="80"/>
      <c r="R40" s="79">
        <v>2.3047</v>
      </c>
      <c r="S40" s="79"/>
      <c r="T40" s="79"/>
      <c r="U40" s="81"/>
      <c r="V40" s="79"/>
      <c r="W40" s="79"/>
      <c r="X40" s="79">
        <v>0.51239578</v>
      </c>
      <c r="Y40" s="79"/>
      <c r="Z40" s="79"/>
      <c r="AA40" s="23" t="e">
        <f>AB40+#REF!</f>
        <v>#REF!</v>
      </c>
      <c r="AB40" s="82"/>
      <c r="AC40" s="22">
        <f t="shared" si="6"/>
        <v>0</v>
      </c>
      <c r="AD40" s="79"/>
      <c r="AE40" s="31"/>
      <c r="AF40" s="79"/>
      <c r="AG40" s="83"/>
      <c r="AH40" s="22">
        <v>1.994</v>
      </c>
      <c r="AI40" s="22">
        <f t="shared" si="3"/>
        <v>1.33</v>
      </c>
      <c r="AJ40" s="24">
        <v>100</v>
      </c>
      <c r="AK40" s="15"/>
      <c r="AL40" s="15"/>
      <c r="AM40" s="74"/>
    </row>
    <row r="41" spans="1:39" ht="18.75" hidden="1" outlineLevel="1">
      <c r="A41" s="52"/>
      <c r="B41" s="69" t="s">
        <v>78</v>
      </c>
      <c r="C41" s="77"/>
      <c r="D41" s="78"/>
      <c r="E41" s="22">
        <f t="shared" si="7"/>
        <v>1.068</v>
      </c>
      <c r="F41" s="79"/>
      <c r="G41" s="80"/>
      <c r="H41" s="79"/>
      <c r="I41" s="79">
        <v>1.068</v>
      </c>
      <c r="J41" s="79"/>
      <c r="K41" s="81"/>
      <c r="L41" s="79"/>
      <c r="M41" s="79"/>
      <c r="N41" s="22">
        <f>O41+R41+U41+X41</f>
        <v>0</v>
      </c>
      <c r="O41" s="80"/>
      <c r="P41" s="80"/>
      <c r="Q41" s="80"/>
      <c r="R41" s="79"/>
      <c r="S41" s="79"/>
      <c r="T41" s="79"/>
      <c r="U41" s="81"/>
      <c r="V41" s="79"/>
      <c r="W41" s="79"/>
      <c r="X41" s="79"/>
      <c r="Y41" s="79"/>
      <c r="Z41" s="79"/>
      <c r="AA41" s="23" t="e">
        <f>AB41+#REF!</f>
        <v>#REF!</v>
      </c>
      <c r="AB41" s="82"/>
      <c r="AC41" s="22">
        <f t="shared" si="6"/>
        <v>0</v>
      </c>
      <c r="AD41" s="79"/>
      <c r="AE41" s="31"/>
      <c r="AF41" s="79"/>
      <c r="AG41" s="83"/>
      <c r="AH41" s="22">
        <f>D41-E41</f>
        <v>-1.068</v>
      </c>
      <c r="AI41" s="22">
        <f t="shared" si="3"/>
        <v>1.068</v>
      </c>
      <c r="AJ41" s="24" t="e">
        <f>E41*100/D41</f>
        <v>#DIV/0!</v>
      </c>
      <c r="AK41" s="15"/>
      <c r="AL41" s="15"/>
      <c r="AM41" s="74"/>
    </row>
    <row r="42" spans="1:39" ht="18.75" hidden="1" outlineLevel="1">
      <c r="A42" s="52"/>
      <c r="B42" s="69" t="s">
        <v>79</v>
      </c>
      <c r="C42" s="15"/>
      <c r="D42" s="71"/>
      <c r="E42" s="22">
        <f t="shared" si="7"/>
        <v>0.568</v>
      </c>
      <c r="F42" s="18"/>
      <c r="G42" s="81"/>
      <c r="H42" s="18"/>
      <c r="I42" s="79">
        <v>0.568</v>
      </c>
      <c r="J42" s="18"/>
      <c r="K42" s="81"/>
      <c r="L42" s="18"/>
      <c r="M42" s="18"/>
      <c r="N42" s="22">
        <f>O42+R42+U42+X42</f>
        <v>0</v>
      </c>
      <c r="O42" s="81"/>
      <c r="P42" s="81"/>
      <c r="Q42" s="81"/>
      <c r="R42" s="18"/>
      <c r="S42" s="18"/>
      <c r="T42" s="18"/>
      <c r="U42" s="81"/>
      <c r="V42" s="18"/>
      <c r="W42" s="18"/>
      <c r="X42" s="18"/>
      <c r="Y42" s="18"/>
      <c r="Z42" s="18"/>
      <c r="AA42" s="23" t="e">
        <f>AB42+#REF!</f>
        <v>#REF!</v>
      </c>
      <c r="AB42" s="84"/>
      <c r="AC42" s="22">
        <f t="shared" si="6"/>
        <v>0</v>
      </c>
      <c r="AD42" s="85"/>
      <c r="AE42" s="31"/>
      <c r="AF42" s="79"/>
      <c r="AG42" s="86"/>
      <c r="AH42" s="22">
        <f>D42-E42</f>
        <v>-0.568</v>
      </c>
      <c r="AI42" s="22">
        <f t="shared" si="3"/>
        <v>0.568</v>
      </c>
      <c r="AJ42" s="24" t="e">
        <f>E42*100/D42</f>
        <v>#DIV/0!</v>
      </c>
      <c r="AK42" s="15"/>
      <c r="AL42" s="15"/>
      <c r="AM42" s="74"/>
    </row>
    <row r="43" spans="1:39" ht="63" outlineLevel="1">
      <c r="A43" s="52" t="s">
        <v>80</v>
      </c>
      <c r="B43" s="69" t="s">
        <v>81</v>
      </c>
      <c r="C43" s="15"/>
      <c r="D43" s="71"/>
      <c r="E43" s="22"/>
      <c r="F43" s="18"/>
      <c r="G43" s="81"/>
      <c r="H43" s="18"/>
      <c r="I43" s="18"/>
      <c r="J43" s="18"/>
      <c r="K43" s="81"/>
      <c r="L43" s="18"/>
      <c r="M43" s="18"/>
      <c r="N43" s="22">
        <v>1.463436</v>
      </c>
      <c r="O43" s="81"/>
      <c r="P43" s="81"/>
      <c r="Q43" s="81"/>
      <c r="R43" s="18">
        <v>1.09</v>
      </c>
      <c r="S43" s="18"/>
      <c r="T43" s="18"/>
      <c r="U43" s="81"/>
      <c r="V43" s="18"/>
      <c r="W43" s="18"/>
      <c r="X43" s="18"/>
      <c r="Y43" s="18"/>
      <c r="Z43" s="18"/>
      <c r="AA43" s="23"/>
      <c r="AB43" s="84"/>
      <c r="AC43" s="22">
        <f t="shared" si="6"/>
        <v>1.0901079999999999</v>
      </c>
      <c r="AD43" s="85"/>
      <c r="AE43" s="81"/>
      <c r="AF43" s="81">
        <f>0.544643+0.545465</f>
        <v>1.0901079999999999</v>
      </c>
      <c r="AG43" s="86"/>
      <c r="AH43" s="22"/>
      <c r="AI43" s="22"/>
      <c r="AJ43" s="24"/>
      <c r="AK43" s="15"/>
      <c r="AL43" s="15"/>
      <c r="AM43" s="74" t="s">
        <v>82</v>
      </c>
    </row>
    <row r="44" spans="1:39" ht="47.25" outlineLevel="1">
      <c r="A44" s="52" t="s">
        <v>83</v>
      </c>
      <c r="B44" s="69" t="s">
        <v>84</v>
      </c>
      <c r="C44" s="15"/>
      <c r="D44" s="71"/>
      <c r="E44" s="22"/>
      <c r="F44" s="18"/>
      <c r="G44" s="81"/>
      <c r="H44" s="18"/>
      <c r="I44" s="18"/>
      <c r="J44" s="18"/>
      <c r="K44" s="81"/>
      <c r="L44" s="18"/>
      <c r="M44" s="18"/>
      <c r="N44" s="22">
        <v>0.318402</v>
      </c>
      <c r="O44" s="31">
        <v>0.167311</v>
      </c>
      <c r="P44" s="81"/>
      <c r="Q44" s="81"/>
      <c r="R44" s="18"/>
      <c r="S44" s="18"/>
      <c r="T44" s="18"/>
      <c r="U44" s="81">
        <f>0.153957</f>
        <v>0.153957</v>
      </c>
      <c r="V44" s="18"/>
      <c r="W44" s="18"/>
      <c r="X44" s="18"/>
      <c r="Y44" s="18"/>
      <c r="Z44" s="18"/>
      <c r="AA44" s="23"/>
      <c r="AB44" s="84"/>
      <c r="AC44" s="22">
        <f t="shared" si="6"/>
        <v>0.153957</v>
      </c>
      <c r="AD44" s="85"/>
      <c r="AE44" s="81"/>
      <c r="AF44" s="81">
        <v>0.153957</v>
      </c>
      <c r="AG44" s="86"/>
      <c r="AH44" s="22"/>
      <c r="AI44" s="22"/>
      <c r="AJ44" s="24"/>
      <c r="AK44" s="15"/>
      <c r="AL44" s="15"/>
      <c r="AM44" s="74" t="s">
        <v>85</v>
      </c>
    </row>
    <row r="45" spans="1:39" ht="36.75" customHeight="1" outlineLevel="1">
      <c r="A45" s="52" t="s">
        <v>86</v>
      </c>
      <c r="B45" s="69" t="s">
        <v>87</v>
      </c>
      <c r="C45" s="15"/>
      <c r="D45" s="71"/>
      <c r="E45" s="22">
        <f t="shared" si="7"/>
        <v>0.97938983</v>
      </c>
      <c r="F45" s="18"/>
      <c r="G45" s="81"/>
      <c r="H45" s="18"/>
      <c r="I45" s="18"/>
      <c r="J45" s="18"/>
      <c r="K45" s="81"/>
      <c r="L45" s="18"/>
      <c r="M45" s="18">
        <v>0.97938983</v>
      </c>
      <c r="N45" s="87">
        <f>O45+R45+U45+X45</f>
        <v>1.017196</v>
      </c>
      <c r="O45" s="81"/>
      <c r="P45" s="81"/>
      <c r="Q45" s="81"/>
      <c r="R45" s="18"/>
      <c r="S45" s="18"/>
      <c r="T45" s="18"/>
      <c r="U45" s="81">
        <v>1.017196</v>
      </c>
      <c r="V45" s="18"/>
      <c r="W45" s="18"/>
      <c r="X45" s="18"/>
      <c r="Y45" s="18"/>
      <c r="Z45" s="18"/>
      <c r="AA45" s="23"/>
      <c r="AB45" s="84"/>
      <c r="AC45" s="22">
        <f t="shared" si="6"/>
        <v>1.017196</v>
      </c>
      <c r="AD45" s="85"/>
      <c r="AE45" s="81"/>
      <c r="AF45" s="81">
        <v>1.017196</v>
      </c>
      <c r="AG45" s="86"/>
      <c r="AH45" s="22"/>
      <c r="AI45" s="22"/>
      <c r="AJ45" s="24"/>
      <c r="AK45" s="15"/>
      <c r="AL45" s="15"/>
      <c r="AM45" s="74" t="s">
        <v>88</v>
      </c>
    </row>
    <row r="46" spans="1:39" ht="18.75" outlineLevel="1">
      <c r="A46" s="52" t="s">
        <v>89</v>
      </c>
      <c r="B46" s="69" t="s">
        <v>90</v>
      </c>
      <c r="C46" s="15"/>
      <c r="D46" s="71"/>
      <c r="E46" s="22"/>
      <c r="F46" s="18"/>
      <c r="G46" s="81"/>
      <c r="H46" s="18"/>
      <c r="I46" s="18"/>
      <c r="J46" s="18"/>
      <c r="K46" s="81"/>
      <c r="L46" s="18"/>
      <c r="M46" s="18"/>
      <c r="N46" s="22">
        <f>O46+R46+U46+X46</f>
        <v>0.020109</v>
      </c>
      <c r="O46" s="81"/>
      <c r="P46" s="81"/>
      <c r="Q46" s="81"/>
      <c r="R46" s="18"/>
      <c r="S46" s="18"/>
      <c r="T46" s="18"/>
      <c r="U46" s="81">
        <v>0.020109</v>
      </c>
      <c r="V46" s="18"/>
      <c r="W46" s="18"/>
      <c r="X46" s="18"/>
      <c r="Y46" s="18"/>
      <c r="Z46" s="18"/>
      <c r="AA46" s="22"/>
      <c r="AB46" s="85"/>
      <c r="AC46" s="22">
        <f t="shared" si="6"/>
        <v>0</v>
      </c>
      <c r="AD46" s="85"/>
      <c r="AE46" s="81"/>
      <c r="AF46" s="81"/>
      <c r="AG46" s="86"/>
      <c r="AH46" s="22"/>
      <c r="AI46" s="22"/>
      <c r="AJ46" s="24"/>
      <c r="AK46" s="15"/>
      <c r="AL46" s="15"/>
      <c r="AM46" s="74"/>
    </row>
    <row r="47" spans="1:39" ht="31.5" outlineLevel="1">
      <c r="A47" s="52" t="s">
        <v>91</v>
      </c>
      <c r="B47" s="69" t="s">
        <v>92</v>
      </c>
      <c r="C47" s="15"/>
      <c r="D47" s="71"/>
      <c r="E47" s="22"/>
      <c r="F47" s="18"/>
      <c r="G47" s="81"/>
      <c r="H47" s="18"/>
      <c r="I47" s="18"/>
      <c r="J47" s="18"/>
      <c r="K47" s="81"/>
      <c r="L47" s="18"/>
      <c r="M47" s="18"/>
      <c r="N47" s="22">
        <f>O47+R47+U47+X47</f>
        <v>0.529897</v>
      </c>
      <c r="O47" s="81"/>
      <c r="P47" s="81"/>
      <c r="Q47" s="81"/>
      <c r="R47" s="18"/>
      <c r="S47" s="18"/>
      <c r="T47" s="18"/>
      <c r="U47" s="81">
        <v>0.529897</v>
      </c>
      <c r="V47" s="18"/>
      <c r="W47" s="18"/>
      <c r="X47" s="18"/>
      <c r="Y47" s="18"/>
      <c r="Z47" s="18"/>
      <c r="AA47" s="22"/>
      <c r="AB47" s="85"/>
      <c r="AC47" s="22">
        <f t="shared" si="6"/>
        <v>0.529897</v>
      </c>
      <c r="AD47" s="85"/>
      <c r="AE47" s="81"/>
      <c r="AF47" s="81">
        <v>0.529897</v>
      </c>
      <c r="AG47" s="86"/>
      <c r="AH47" s="22"/>
      <c r="AI47" s="22"/>
      <c r="AJ47" s="24"/>
      <c r="AK47" s="15"/>
      <c r="AL47" s="15"/>
      <c r="AM47" s="74" t="s">
        <v>93</v>
      </c>
    </row>
    <row r="48" spans="1:39" ht="31.5" outlineLevel="1">
      <c r="A48" s="52" t="s">
        <v>94</v>
      </c>
      <c r="B48" s="69" t="s">
        <v>95</v>
      </c>
      <c r="C48" s="15"/>
      <c r="D48" s="71"/>
      <c r="E48" s="22"/>
      <c r="F48" s="18"/>
      <c r="G48" s="81"/>
      <c r="H48" s="18"/>
      <c r="I48" s="18"/>
      <c r="J48" s="18"/>
      <c r="K48" s="81"/>
      <c r="L48" s="18"/>
      <c r="M48" s="18"/>
      <c r="N48" s="22">
        <f>O48+R48+U48+X48</f>
        <v>0.1485</v>
      </c>
      <c r="O48" s="81"/>
      <c r="P48" s="81"/>
      <c r="Q48" s="81"/>
      <c r="R48" s="18"/>
      <c r="S48" s="18"/>
      <c r="T48" s="18"/>
      <c r="U48" s="81">
        <v>0.1485</v>
      </c>
      <c r="V48" s="18"/>
      <c r="W48" s="18"/>
      <c r="X48" s="18"/>
      <c r="Y48" s="18"/>
      <c r="Z48" s="18"/>
      <c r="AA48" s="22"/>
      <c r="AB48" s="85"/>
      <c r="AC48" s="22">
        <f t="shared" si="6"/>
        <v>0.148536</v>
      </c>
      <c r="AD48" s="85"/>
      <c r="AE48" s="81"/>
      <c r="AF48" s="81">
        <v>0.148536</v>
      </c>
      <c r="AG48" s="86"/>
      <c r="AH48" s="22"/>
      <c r="AI48" s="22"/>
      <c r="AJ48" s="24"/>
      <c r="AK48" s="15"/>
      <c r="AL48" s="15"/>
      <c r="AM48" s="74" t="s">
        <v>96</v>
      </c>
    </row>
    <row r="49" spans="1:39" ht="31.5">
      <c r="A49" s="52" t="s">
        <v>97</v>
      </c>
      <c r="B49" s="69" t="s">
        <v>98</v>
      </c>
      <c r="C49" s="15"/>
      <c r="D49" s="71"/>
      <c r="E49" s="22"/>
      <c r="F49" s="18"/>
      <c r="G49" s="81"/>
      <c r="H49" s="18"/>
      <c r="I49" s="18"/>
      <c r="J49" s="18"/>
      <c r="K49" s="81"/>
      <c r="L49" s="18"/>
      <c r="M49" s="18"/>
      <c r="N49" s="22">
        <f>O49+R49+U49+X49</f>
        <v>0.0924</v>
      </c>
      <c r="O49" s="81"/>
      <c r="P49" s="81"/>
      <c r="Q49" s="81"/>
      <c r="R49" s="18"/>
      <c r="S49" s="18"/>
      <c r="T49" s="18"/>
      <c r="U49" s="81">
        <v>0.0924</v>
      </c>
      <c r="V49" s="18"/>
      <c r="W49" s="18"/>
      <c r="X49" s="18"/>
      <c r="Y49" s="18"/>
      <c r="Z49" s="18"/>
      <c r="AA49" s="84"/>
      <c r="AB49" s="84"/>
      <c r="AC49" s="22">
        <f t="shared" si="6"/>
        <v>0.092422</v>
      </c>
      <c r="AD49" s="85"/>
      <c r="AE49" s="81"/>
      <c r="AF49" s="81">
        <v>0.092422</v>
      </c>
      <c r="AG49" s="86"/>
      <c r="AH49" s="22"/>
      <c r="AI49" s="22"/>
      <c r="AJ49" s="24"/>
      <c r="AK49" s="15"/>
      <c r="AL49" s="15"/>
      <c r="AM49" s="74" t="s">
        <v>99</v>
      </c>
    </row>
    <row r="50" spans="1:39" ht="37.5">
      <c r="A50" s="52" t="s">
        <v>100</v>
      </c>
      <c r="B50" s="69" t="s">
        <v>101</v>
      </c>
      <c r="C50" s="15"/>
      <c r="D50" s="71"/>
      <c r="E50" s="22"/>
      <c r="F50" s="18"/>
      <c r="G50" s="81"/>
      <c r="H50" s="18"/>
      <c r="I50" s="18"/>
      <c r="J50" s="18"/>
      <c r="K50" s="81"/>
      <c r="L50" s="18"/>
      <c r="M50" s="18"/>
      <c r="N50" s="22">
        <v>0.2</v>
      </c>
      <c r="O50" s="81">
        <v>0.19986581</v>
      </c>
      <c r="P50" s="81"/>
      <c r="Q50" s="81"/>
      <c r="R50" s="18"/>
      <c r="S50" s="18"/>
      <c r="T50" s="18"/>
      <c r="U50" s="81"/>
      <c r="V50" s="18"/>
      <c r="W50" s="18"/>
      <c r="X50" s="18">
        <v>0.199</v>
      </c>
      <c r="Y50" s="18"/>
      <c r="Z50" s="18"/>
      <c r="AA50" s="84"/>
      <c r="AB50" s="84"/>
      <c r="AC50" s="22">
        <f t="shared" si="6"/>
        <v>0.19986581</v>
      </c>
      <c r="AD50" s="85"/>
      <c r="AE50" s="81">
        <v>0.19986581</v>
      </c>
      <c r="AF50" s="81"/>
      <c r="AG50" s="86"/>
      <c r="AH50" s="22"/>
      <c r="AI50" s="22"/>
      <c r="AJ50" s="24"/>
      <c r="AK50" s="15"/>
      <c r="AL50" s="15"/>
      <c r="AM50" s="124" t="s">
        <v>124</v>
      </c>
    </row>
    <row r="51" spans="1:39" ht="37.5">
      <c r="A51" s="52" t="s">
        <v>102</v>
      </c>
      <c r="B51" s="69" t="s">
        <v>103</v>
      </c>
      <c r="C51" s="15"/>
      <c r="D51" s="71"/>
      <c r="E51" s="22"/>
      <c r="F51" s="18"/>
      <c r="G51" s="81"/>
      <c r="H51" s="18"/>
      <c r="I51" s="18"/>
      <c r="J51" s="18"/>
      <c r="K51" s="81"/>
      <c r="L51" s="18"/>
      <c r="M51" s="18"/>
      <c r="N51" s="22">
        <f>O51</f>
        <v>0.19986579</v>
      </c>
      <c r="O51" s="81">
        <v>0.19986579</v>
      </c>
      <c r="P51" s="81"/>
      <c r="Q51" s="81"/>
      <c r="R51" s="18"/>
      <c r="S51" s="18"/>
      <c r="T51" s="18"/>
      <c r="U51" s="81"/>
      <c r="V51" s="18"/>
      <c r="W51" s="18"/>
      <c r="X51" s="18">
        <v>0.19986579</v>
      </c>
      <c r="Y51" s="18"/>
      <c r="Z51" s="18"/>
      <c r="AA51" s="84"/>
      <c r="AB51" s="84"/>
      <c r="AC51" s="22">
        <f t="shared" si="6"/>
        <v>0.19986579</v>
      </c>
      <c r="AD51" s="85"/>
      <c r="AE51" s="81">
        <v>0.19986579</v>
      </c>
      <c r="AF51" s="81"/>
      <c r="AG51" s="86"/>
      <c r="AH51" s="22"/>
      <c r="AI51" s="22"/>
      <c r="AJ51" s="24"/>
      <c r="AK51" s="15"/>
      <c r="AL51" s="15"/>
      <c r="AM51" s="124" t="s">
        <v>124</v>
      </c>
    </row>
    <row r="52" spans="1:39" ht="37.5">
      <c r="A52" s="52" t="s">
        <v>104</v>
      </c>
      <c r="B52" s="69" t="s">
        <v>105</v>
      </c>
      <c r="C52" s="15"/>
      <c r="D52" s="71"/>
      <c r="E52" s="22">
        <f t="shared" si="7"/>
        <v>1</v>
      </c>
      <c r="F52" s="18"/>
      <c r="G52" s="81"/>
      <c r="H52" s="18"/>
      <c r="I52" s="18"/>
      <c r="J52" s="18"/>
      <c r="K52" s="81"/>
      <c r="L52" s="18"/>
      <c r="M52" s="18">
        <v>1</v>
      </c>
      <c r="N52" s="22">
        <f>O52</f>
        <v>1.00131618</v>
      </c>
      <c r="O52" s="81">
        <v>1.00131618</v>
      </c>
      <c r="P52" s="81"/>
      <c r="Q52" s="81"/>
      <c r="R52" s="18"/>
      <c r="S52" s="18"/>
      <c r="T52" s="18"/>
      <c r="U52" s="81"/>
      <c r="V52" s="18"/>
      <c r="W52" s="18"/>
      <c r="X52" s="18">
        <v>1.00131618</v>
      </c>
      <c r="Y52" s="18"/>
      <c r="Z52" s="18"/>
      <c r="AA52" s="84"/>
      <c r="AB52" s="84"/>
      <c r="AC52" s="22">
        <f t="shared" si="6"/>
        <v>1.00131618</v>
      </c>
      <c r="AD52" s="85"/>
      <c r="AE52" s="81">
        <v>1.00131618</v>
      </c>
      <c r="AF52" s="81"/>
      <c r="AG52" s="86"/>
      <c r="AH52" s="22"/>
      <c r="AI52" s="22"/>
      <c r="AJ52" s="24"/>
      <c r="AK52" s="15"/>
      <c r="AL52" s="15"/>
      <c r="AM52" s="124" t="s">
        <v>124</v>
      </c>
    </row>
    <row r="53" spans="1:39" ht="78.75">
      <c r="A53" s="52" t="s">
        <v>106</v>
      </c>
      <c r="B53" s="69" t="s">
        <v>107</v>
      </c>
      <c r="C53" s="15"/>
      <c r="D53" s="71"/>
      <c r="E53" s="22">
        <f t="shared" si="7"/>
        <v>1.3711839</v>
      </c>
      <c r="F53" s="18"/>
      <c r="G53" s="81"/>
      <c r="H53" s="18"/>
      <c r="I53" s="18"/>
      <c r="J53" s="18"/>
      <c r="K53" s="81"/>
      <c r="L53" s="18"/>
      <c r="M53" s="18">
        <v>1.3711839</v>
      </c>
      <c r="N53" s="22">
        <v>2.05981179</v>
      </c>
      <c r="O53" s="81">
        <v>2.05981179</v>
      </c>
      <c r="P53" s="81"/>
      <c r="Q53" s="81"/>
      <c r="R53" s="18"/>
      <c r="S53" s="18"/>
      <c r="T53" s="18"/>
      <c r="U53" s="81"/>
      <c r="V53" s="18"/>
      <c r="W53" s="18"/>
      <c r="X53" s="18">
        <v>2.059811</v>
      </c>
      <c r="Y53" s="18"/>
      <c r="Z53" s="18"/>
      <c r="AA53" s="84"/>
      <c r="AB53" s="84"/>
      <c r="AC53" s="22">
        <f t="shared" si="6"/>
        <v>2.05981179</v>
      </c>
      <c r="AD53" s="85"/>
      <c r="AE53" s="81">
        <v>2.05981179</v>
      </c>
      <c r="AF53" s="81"/>
      <c r="AG53" s="86"/>
      <c r="AH53" s="22"/>
      <c r="AI53" s="22"/>
      <c r="AJ53" s="24"/>
      <c r="AK53" s="15"/>
      <c r="AL53" s="15"/>
      <c r="AM53" s="74" t="s">
        <v>108</v>
      </c>
    </row>
    <row r="54" spans="1:39" ht="93.75">
      <c r="A54" s="52" t="s">
        <v>109</v>
      </c>
      <c r="B54" s="69" t="s">
        <v>110</v>
      </c>
      <c r="C54" s="15"/>
      <c r="D54" s="71"/>
      <c r="E54" s="22">
        <f t="shared" si="7"/>
        <v>0.288</v>
      </c>
      <c r="F54" s="18"/>
      <c r="G54" s="81"/>
      <c r="H54" s="18"/>
      <c r="I54" s="18"/>
      <c r="J54" s="18"/>
      <c r="K54" s="81"/>
      <c r="L54" s="18"/>
      <c r="M54" s="18">
        <v>0.288</v>
      </c>
      <c r="N54" s="88">
        <f>O54</f>
        <v>0.36117903</v>
      </c>
      <c r="O54" s="81">
        <f>0.05341448+0.10436235+0.12861701+0.07478519</f>
        <v>0.36117903</v>
      </c>
      <c r="P54" s="81"/>
      <c r="Q54" s="81"/>
      <c r="R54" s="18"/>
      <c r="S54" s="18"/>
      <c r="T54" s="18"/>
      <c r="U54" s="81"/>
      <c r="V54" s="18"/>
      <c r="W54" s="18"/>
      <c r="X54" s="18">
        <f>0.10436235+0.12861701+0.07478519+0.05341448</f>
        <v>0.36117903</v>
      </c>
      <c r="Y54" s="18"/>
      <c r="Z54" s="18"/>
      <c r="AA54" s="84"/>
      <c r="AB54" s="84"/>
      <c r="AC54" s="22">
        <f t="shared" si="6"/>
        <v>0.36117903</v>
      </c>
      <c r="AD54" s="85"/>
      <c r="AE54" s="81">
        <f>0.05341448+0.10436235+0.12861701+0.07478519</f>
        <v>0.36117903</v>
      </c>
      <c r="AF54" s="81"/>
      <c r="AG54" s="86"/>
      <c r="AH54" s="22"/>
      <c r="AI54" s="22"/>
      <c r="AJ54" s="24"/>
      <c r="AK54" s="15"/>
      <c r="AL54" s="15"/>
      <c r="AM54" s="74" t="s">
        <v>108</v>
      </c>
    </row>
    <row r="55" spans="1:39" ht="37.5">
      <c r="A55" s="122" t="s">
        <v>111</v>
      </c>
      <c r="B55" s="69" t="s">
        <v>122</v>
      </c>
      <c r="C55" s="15"/>
      <c r="D55" s="71"/>
      <c r="E55" s="22">
        <f t="shared" si="7"/>
        <v>0.568</v>
      </c>
      <c r="F55" s="18"/>
      <c r="G55" s="81"/>
      <c r="H55" s="18"/>
      <c r="I55" s="123">
        <v>0.568</v>
      </c>
      <c r="J55" s="18"/>
      <c r="K55" s="81"/>
      <c r="L55" s="18"/>
      <c r="M55" s="18"/>
      <c r="N55" s="88"/>
      <c r="O55" s="81"/>
      <c r="P55" s="81"/>
      <c r="Q55" s="81"/>
      <c r="R55" s="18"/>
      <c r="S55" s="18"/>
      <c r="T55" s="18"/>
      <c r="U55" s="81"/>
      <c r="V55" s="18"/>
      <c r="W55" s="18"/>
      <c r="X55" s="18"/>
      <c r="Y55" s="18"/>
      <c r="Z55" s="18"/>
      <c r="AA55" s="84"/>
      <c r="AB55" s="84"/>
      <c r="AC55" s="22"/>
      <c r="AD55" s="85"/>
      <c r="AE55" s="81"/>
      <c r="AF55" s="81"/>
      <c r="AG55" s="86"/>
      <c r="AH55" s="22"/>
      <c r="AI55" s="22"/>
      <c r="AJ55" s="24"/>
      <c r="AK55" s="15"/>
      <c r="AL55" s="15"/>
      <c r="AM55" s="124" t="s">
        <v>125</v>
      </c>
    </row>
    <row r="56" spans="1:39" ht="56.25">
      <c r="A56" s="122" t="s">
        <v>120</v>
      </c>
      <c r="B56" s="69" t="s">
        <v>123</v>
      </c>
      <c r="C56" s="15"/>
      <c r="D56" s="71"/>
      <c r="E56" s="22">
        <f t="shared" si="7"/>
        <v>1.068</v>
      </c>
      <c r="F56" s="18"/>
      <c r="G56" s="81"/>
      <c r="H56" s="18"/>
      <c r="I56" s="123">
        <v>1.068</v>
      </c>
      <c r="J56" s="18"/>
      <c r="K56" s="81"/>
      <c r="L56" s="18"/>
      <c r="M56" s="18"/>
      <c r="N56" s="88"/>
      <c r="O56" s="81"/>
      <c r="P56" s="81"/>
      <c r="Q56" s="81"/>
      <c r="R56" s="18"/>
      <c r="S56" s="18"/>
      <c r="T56" s="18"/>
      <c r="U56" s="81"/>
      <c r="V56" s="18"/>
      <c r="W56" s="18"/>
      <c r="X56" s="18"/>
      <c r="Y56" s="18"/>
      <c r="Z56" s="18"/>
      <c r="AA56" s="84"/>
      <c r="AB56" s="84"/>
      <c r="AC56" s="22"/>
      <c r="AD56" s="85"/>
      <c r="AE56" s="81"/>
      <c r="AF56" s="81"/>
      <c r="AG56" s="86"/>
      <c r="AH56" s="22"/>
      <c r="AI56" s="22"/>
      <c r="AJ56" s="24"/>
      <c r="AK56" s="15"/>
      <c r="AL56" s="15"/>
      <c r="AM56" s="124" t="s">
        <v>125</v>
      </c>
    </row>
    <row r="57" spans="1:39" ht="31.5">
      <c r="A57" s="122" t="s">
        <v>121</v>
      </c>
      <c r="B57" s="69" t="s">
        <v>112</v>
      </c>
      <c r="C57" s="15"/>
      <c r="D57" s="71"/>
      <c r="E57" s="22"/>
      <c r="F57" s="18"/>
      <c r="G57" s="81"/>
      <c r="H57" s="18"/>
      <c r="I57" s="18"/>
      <c r="J57" s="18"/>
      <c r="K57" s="81"/>
      <c r="L57" s="18"/>
      <c r="M57" s="18"/>
      <c r="N57" s="22">
        <f>O57+R57+U57+X57</f>
        <v>0.379859</v>
      </c>
      <c r="O57" s="81"/>
      <c r="P57" s="81"/>
      <c r="Q57" s="81"/>
      <c r="R57" s="18"/>
      <c r="S57" s="18"/>
      <c r="T57" s="18"/>
      <c r="U57" s="81">
        <f>0.270688+0.109171</f>
        <v>0.379859</v>
      </c>
      <c r="V57" s="18"/>
      <c r="W57" s="18"/>
      <c r="X57" s="18"/>
      <c r="Y57" s="18"/>
      <c r="Z57" s="18"/>
      <c r="AA57" s="84"/>
      <c r="AB57" s="84"/>
      <c r="AC57" s="22">
        <f t="shared" si="6"/>
        <v>0.379859</v>
      </c>
      <c r="AD57" s="85"/>
      <c r="AE57" s="81"/>
      <c r="AF57" s="81">
        <f>0.270688+0.109171</f>
        <v>0.379859</v>
      </c>
      <c r="AG57" s="86"/>
      <c r="AH57" s="22"/>
      <c r="AI57" s="22"/>
      <c r="AJ57" s="24"/>
      <c r="AK57" s="15"/>
      <c r="AL57" s="15"/>
      <c r="AM57" s="74" t="s">
        <v>113</v>
      </c>
    </row>
    <row r="58" spans="1:39" ht="18.75">
      <c r="A58" s="89"/>
      <c r="B58" s="98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9"/>
      <c r="O58" s="96"/>
      <c r="P58" s="96"/>
      <c r="Q58" s="96"/>
      <c r="R58" s="91"/>
      <c r="S58" s="91"/>
      <c r="T58" s="91"/>
      <c r="U58" s="92"/>
      <c r="V58" s="93"/>
      <c r="W58" s="93"/>
      <c r="X58" s="92"/>
      <c r="Y58" s="92"/>
      <c r="Z58" s="92"/>
      <c r="AA58" s="94"/>
      <c r="AB58" s="94"/>
      <c r="AC58" s="95"/>
      <c r="AD58" s="96"/>
      <c r="AE58" s="96"/>
      <c r="AF58" s="96"/>
      <c r="AG58" s="96"/>
      <c r="AH58" s="97"/>
      <c r="AI58" s="97"/>
      <c r="AJ58" s="89"/>
      <c r="AK58" s="90"/>
      <c r="AL58" s="90"/>
      <c r="AM58" s="90"/>
    </row>
    <row r="59" spans="1:39" ht="15.75">
      <c r="A59" s="89"/>
      <c r="B59" s="100" t="s">
        <v>114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101"/>
      <c r="O59" s="89"/>
      <c r="P59" s="89"/>
      <c r="Q59" s="89"/>
      <c r="R59" s="97"/>
      <c r="S59" s="97"/>
      <c r="T59" s="97"/>
      <c r="U59" s="101"/>
      <c r="V59" s="89"/>
      <c r="W59" s="89"/>
      <c r="X59" s="101"/>
      <c r="Y59" s="101"/>
      <c r="Z59" s="101"/>
      <c r="AA59" s="102"/>
      <c r="AB59" s="102"/>
      <c r="AC59" s="93"/>
      <c r="AD59" s="89"/>
      <c r="AE59" s="89"/>
      <c r="AF59" s="89"/>
      <c r="AG59" s="89"/>
      <c r="AH59" s="89"/>
      <c r="AI59" s="89"/>
      <c r="AJ59" s="89"/>
      <c r="AK59" s="89"/>
      <c r="AL59" s="89"/>
      <c r="AM59" s="89"/>
    </row>
    <row r="60" spans="1:39" ht="15.75" customHeight="1">
      <c r="A60" s="89"/>
      <c r="B60" s="141" t="s">
        <v>115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89"/>
      <c r="P60" s="89"/>
      <c r="Q60" s="89"/>
      <c r="R60" s="97"/>
      <c r="S60" s="97"/>
      <c r="T60" s="97"/>
      <c r="U60" s="101"/>
      <c r="V60" s="89"/>
      <c r="W60" s="89"/>
      <c r="X60" s="101"/>
      <c r="Y60" s="101"/>
      <c r="Z60" s="101"/>
      <c r="AA60" s="102"/>
      <c r="AB60" s="102"/>
      <c r="AC60" s="93"/>
      <c r="AD60" s="89"/>
      <c r="AE60" s="89"/>
      <c r="AF60" s="89"/>
      <c r="AG60" s="89"/>
      <c r="AH60" s="89"/>
      <c r="AI60" s="89"/>
      <c r="AJ60" s="89"/>
      <c r="AK60" s="89"/>
      <c r="AL60" s="89"/>
      <c r="AM60" s="89"/>
    </row>
    <row r="61" spans="1:39" ht="15.75">
      <c r="A61" s="90"/>
      <c r="B61" s="1" t="s">
        <v>116</v>
      </c>
      <c r="R61" s="91"/>
      <c r="S61" s="91"/>
      <c r="T61" s="91"/>
      <c r="U61" s="92"/>
      <c r="V61" s="93"/>
      <c r="W61" s="93"/>
      <c r="X61" s="92"/>
      <c r="Y61" s="92"/>
      <c r="Z61" s="92"/>
      <c r="AA61" s="103"/>
      <c r="AB61" s="103"/>
      <c r="AC61" s="93"/>
      <c r="AD61" s="93"/>
      <c r="AE61" s="93"/>
      <c r="AF61" s="93"/>
      <c r="AG61" s="93"/>
      <c r="AH61" s="93"/>
      <c r="AI61" s="90"/>
      <c r="AJ61" s="90"/>
      <c r="AK61" s="90"/>
      <c r="AL61" s="90"/>
      <c r="AM61" s="90"/>
    </row>
    <row r="62" spans="1:39" ht="15.75">
      <c r="A62" s="90"/>
      <c r="R62" s="91"/>
      <c r="S62" s="91"/>
      <c r="T62" s="91"/>
      <c r="U62" s="92"/>
      <c r="V62" s="93"/>
      <c r="W62" s="93"/>
      <c r="X62" s="92"/>
      <c r="Y62" s="92"/>
      <c r="Z62" s="92"/>
      <c r="AA62" s="103"/>
      <c r="AB62" s="103"/>
      <c r="AC62" s="93"/>
      <c r="AD62" s="93"/>
      <c r="AE62" s="93"/>
      <c r="AF62" s="93"/>
      <c r="AG62" s="93"/>
      <c r="AH62" s="93"/>
      <c r="AI62" s="90"/>
      <c r="AJ62" s="90"/>
      <c r="AK62" s="90"/>
      <c r="AL62" s="90"/>
      <c r="AM62" s="90"/>
    </row>
    <row r="63" spans="1:39" ht="15.75" customHeight="1">
      <c r="A63" s="90"/>
      <c r="B63" s="142" t="s">
        <v>117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91"/>
      <c r="S63" s="91"/>
      <c r="T63" s="91"/>
      <c r="U63" s="92"/>
      <c r="V63" s="93"/>
      <c r="W63" s="93"/>
      <c r="X63" s="92"/>
      <c r="Y63" s="92"/>
      <c r="Z63" s="92"/>
      <c r="AA63" s="103"/>
      <c r="AB63" s="103"/>
      <c r="AC63" s="93"/>
      <c r="AD63" s="93"/>
      <c r="AE63" s="93"/>
      <c r="AF63" s="93"/>
      <c r="AG63" s="93"/>
      <c r="AH63" s="93"/>
      <c r="AI63" s="90"/>
      <c r="AJ63" s="90"/>
      <c r="AK63" s="90"/>
      <c r="AL63" s="90"/>
      <c r="AM63" s="90"/>
    </row>
    <row r="64" spans="1:39" ht="15.75">
      <c r="A64" s="90"/>
      <c r="B64" s="104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2"/>
      <c r="O64" s="93"/>
      <c r="P64" s="93"/>
      <c r="Q64" s="93"/>
      <c r="R64" s="91"/>
      <c r="S64" s="91"/>
      <c r="T64" s="91"/>
      <c r="U64" s="92"/>
      <c r="V64" s="93"/>
      <c r="W64" s="93"/>
      <c r="X64" s="92"/>
      <c r="Y64" s="92"/>
      <c r="Z64" s="92"/>
      <c r="AA64" s="103"/>
      <c r="AB64" s="103"/>
      <c r="AC64" s="93"/>
      <c r="AD64" s="93"/>
      <c r="AE64" s="93"/>
      <c r="AF64" s="93"/>
      <c r="AG64" s="93"/>
      <c r="AH64" s="93"/>
      <c r="AI64" s="90"/>
      <c r="AJ64" s="90"/>
      <c r="AK64" s="90"/>
      <c r="AL64" s="90"/>
      <c r="AM64" s="90"/>
    </row>
    <row r="65" spans="1:39" ht="15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2"/>
      <c r="O65" s="93"/>
      <c r="P65" s="93"/>
      <c r="Q65" s="93"/>
      <c r="R65" s="91"/>
      <c r="S65" s="91"/>
      <c r="T65" s="91"/>
      <c r="U65" s="92"/>
      <c r="V65" s="93"/>
      <c r="W65" s="93"/>
      <c r="X65" s="92"/>
      <c r="Y65" s="92"/>
      <c r="Z65" s="92"/>
      <c r="AA65" s="103"/>
      <c r="AB65" s="103"/>
      <c r="AC65" s="93"/>
      <c r="AD65" s="93"/>
      <c r="AE65" s="93"/>
      <c r="AF65" s="93"/>
      <c r="AG65" s="93"/>
      <c r="AH65" s="93"/>
      <c r="AI65" s="90"/>
      <c r="AJ65" s="90"/>
      <c r="AK65" s="90"/>
      <c r="AL65" s="90"/>
      <c r="AM65" s="90"/>
    </row>
    <row r="66" ht="15.75">
      <c r="A66" s="105"/>
    </row>
    <row r="67" spans="1:20" ht="15.75">
      <c r="A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O67" s="108"/>
      <c r="P67" s="108"/>
      <c r="Q67" s="108"/>
      <c r="R67" s="109"/>
      <c r="S67" s="109"/>
      <c r="T67" s="109"/>
    </row>
    <row r="68" spans="15:39" ht="15.75">
      <c r="O68" s="110"/>
      <c r="P68" s="110"/>
      <c r="Q68" s="110"/>
      <c r="R68" s="111"/>
      <c r="S68" s="111"/>
      <c r="T68" s="111"/>
      <c r="U68" s="112"/>
      <c r="V68" s="113"/>
      <c r="W68" s="113"/>
      <c r="X68" s="114"/>
      <c r="Y68" s="114"/>
      <c r="Z68" s="114"/>
      <c r="AA68" s="115"/>
      <c r="AB68" s="115"/>
      <c r="AC68" s="116"/>
      <c r="AD68" s="117"/>
      <c r="AE68" s="117"/>
      <c r="AF68" s="117"/>
      <c r="AG68" s="117"/>
      <c r="AH68" s="118"/>
      <c r="AI68" s="119"/>
      <c r="AJ68" s="119"/>
      <c r="AK68" s="119"/>
      <c r="AL68" s="119"/>
      <c r="AM68" s="119"/>
    </row>
    <row r="69" spans="1:20" ht="15.75">
      <c r="A69" s="3"/>
      <c r="R69" s="120"/>
      <c r="S69" s="120"/>
      <c r="T69" s="120"/>
    </row>
    <row r="70" ht="15.75">
      <c r="B70" s="121"/>
    </row>
    <row r="71" ht="15.75">
      <c r="B71" s="121"/>
    </row>
    <row r="72" ht="15.75">
      <c r="B72" s="121"/>
    </row>
    <row r="73" ht="15.75">
      <c r="B73" s="121"/>
    </row>
    <row r="74" ht="15.75">
      <c r="B74" s="121"/>
    </row>
    <row r="75" ht="15.75">
      <c r="B75" s="121"/>
    </row>
    <row r="76" ht="15.75">
      <c r="B76" s="121"/>
    </row>
    <row r="77" ht="15.75">
      <c r="B77" s="121"/>
    </row>
    <row r="78" ht="15.75">
      <c r="B78" s="121"/>
    </row>
    <row r="79" ht="15.75">
      <c r="B79" s="121"/>
    </row>
    <row r="80" ht="15.75">
      <c r="B80" s="121"/>
    </row>
    <row r="81" ht="15.75">
      <c r="B81" s="121"/>
    </row>
    <row r="82" ht="15.75">
      <c r="B82" s="121"/>
    </row>
    <row r="83" ht="15.75">
      <c r="B83" s="121"/>
    </row>
    <row r="84" ht="15.75">
      <c r="B84" s="121"/>
    </row>
  </sheetData>
  <sheetProtection/>
  <mergeCells count="21">
    <mergeCell ref="H19:I19"/>
    <mergeCell ref="B60:N60"/>
    <mergeCell ref="B63:Q63"/>
    <mergeCell ref="J19:K19"/>
    <mergeCell ref="AC18:AG19"/>
    <mergeCell ref="AI19:AI20"/>
    <mergeCell ref="AA18:AB19"/>
    <mergeCell ref="AH18:AH20"/>
    <mergeCell ref="AI18:AL18"/>
    <mergeCell ref="AK19:AL19"/>
    <mergeCell ref="L19:M19"/>
    <mergeCell ref="A6:AM6"/>
    <mergeCell ref="A18:A20"/>
    <mergeCell ref="B18:B20"/>
    <mergeCell ref="C18:C20"/>
    <mergeCell ref="D18:M18"/>
    <mergeCell ref="N18:X19"/>
    <mergeCell ref="AM18:AM20"/>
    <mergeCell ref="AJ19:AJ20"/>
    <mergeCell ref="D19:E19"/>
    <mergeCell ref="F19:G19"/>
  </mergeCells>
  <printOptions/>
  <pageMargins left="0.7086614173228347" right="0.7086614173228347" top="0" bottom="0" header="0.31496062992125984" footer="0.31496062992125984"/>
  <pageSetup fitToHeight="5" fitToWidth="1" horizontalDpi="600" verticalDpi="600" orientation="landscape" paperSize="9" scale="34" r:id="rId3"/>
  <rowBreaks count="1" manualBreakCount="1">
    <brk id="25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panarina_ea</cp:lastModifiedBy>
  <cp:lastPrinted>2017-02-15T01:20:28Z</cp:lastPrinted>
  <dcterms:created xsi:type="dcterms:W3CDTF">2017-02-07T07:16:45Z</dcterms:created>
  <dcterms:modified xsi:type="dcterms:W3CDTF">2017-02-21T01:22:32Z</dcterms:modified>
  <cp:category/>
  <cp:version/>
  <cp:contentType/>
  <cp:contentStatus/>
</cp:coreProperties>
</file>