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2995" windowHeight="9405" activeTab="0"/>
  </bookViews>
  <sheets>
    <sheet name="приложение 7.2т" sheetId="1" r:id="rId1"/>
  </sheets>
  <definedNames>
    <definedName name="_xlnm.Print_Area" localSheetId="0">'приложение 7.2т'!$A$1:$AJ$55</definedName>
  </definedNames>
  <calcPr fullCalcOnLoad="1"/>
</workbook>
</file>

<file path=xl/sharedStrings.xml><?xml version="1.0" encoding="utf-8"?>
<sst xmlns="http://schemas.openxmlformats.org/spreadsheetml/2006/main" count="134" uniqueCount="112">
  <si>
    <t>к приказу Минэнерго России</t>
  </si>
  <si>
    <t>от «___»________2010 г. №____</t>
  </si>
  <si>
    <t xml:space="preserve"> </t>
  </si>
  <si>
    <t>(подпись)</t>
  </si>
  <si>
    <t>«___»________ 20__ года</t>
  </si>
  <si>
    <t>М.П.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</si>
  <si>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</si>
  <si>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</si>
  <si>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</si>
  <si>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1.1.1.</t>
  </si>
  <si>
    <t>1.1.2.</t>
  </si>
  <si>
    <t>Реконструкция ПС 35/6кВ "КТП-1" (приобретение трансформаторов 2*10000 кВА)</t>
  </si>
  <si>
    <t>Новое строительство</t>
  </si>
  <si>
    <t>Прочее новое строительство</t>
  </si>
  <si>
    <t>2.2.1.</t>
  </si>
  <si>
    <t>Строительство КЛ-6кВ ф.7 ПС "Районная" на ТП-1096</t>
  </si>
  <si>
    <t>2.2.2.</t>
  </si>
  <si>
    <t>Строительство КЛ-6кВ ф.4 ПС "Районная" выход на РП-18</t>
  </si>
  <si>
    <t>2.2.3.</t>
  </si>
  <si>
    <t>Обеспечение технологическим присоединением льготной категории заявителей  до 15 кВт и заявителей с мощностью свыше 15 кВт</t>
  </si>
  <si>
    <t>2.2.4.</t>
  </si>
  <si>
    <t>Оформление земельных участков</t>
  </si>
  <si>
    <t>2.2.5.</t>
  </si>
  <si>
    <t>2-й этап строительства гаража на территории базы АО "Улан-Удэ Энерго"</t>
  </si>
  <si>
    <t>2.3.</t>
  </si>
  <si>
    <t xml:space="preserve">Прочее </t>
  </si>
  <si>
    <t>2.3.1.</t>
  </si>
  <si>
    <t>Установка Аскуэ розничного рынка 2015-2017</t>
  </si>
  <si>
    <t>2.3.2.</t>
  </si>
  <si>
    <t>Установка АИИС КУЭ "Умный дом"</t>
  </si>
  <si>
    <t>2.3.3.</t>
  </si>
  <si>
    <t>Приобретение ОС (интеграция)</t>
  </si>
  <si>
    <t>2.3.4.</t>
  </si>
  <si>
    <t>Приборы</t>
  </si>
  <si>
    <t>2.3.5.</t>
  </si>
  <si>
    <t>Концентраторы</t>
  </si>
  <si>
    <t>2.3.6.</t>
  </si>
  <si>
    <t>2.3.7.</t>
  </si>
  <si>
    <t>Ячейка КСО-298 "Бриз"</t>
  </si>
  <si>
    <t>2.3.8.</t>
  </si>
  <si>
    <t>Пункты коммерческого учета</t>
  </si>
  <si>
    <t>2.3.9.</t>
  </si>
  <si>
    <t>Установка 2КТПН ДНТ "Сосновый"</t>
  </si>
  <si>
    <t>2.3.10.</t>
  </si>
  <si>
    <t>ЯБПВУ ул.Пушкина</t>
  </si>
  <si>
    <t>2.3.11.</t>
  </si>
  <si>
    <t>Ячейка КСО РП-27</t>
  </si>
  <si>
    <t>2.3.12.</t>
  </si>
  <si>
    <t>Комутатор</t>
  </si>
  <si>
    <t>2.3.13.</t>
  </si>
  <si>
    <t>Межсетевой экран</t>
  </si>
  <si>
    <t>2.3.14.</t>
  </si>
  <si>
    <t>Трансформатор силовой ТМ-400 6/0,4 кВ зав.№ 14801</t>
  </si>
  <si>
    <t>2.3.15.</t>
  </si>
  <si>
    <t>Трансформатор ТМ-400/6/0,4 кВ зав.№ 14817 в ТП-348</t>
  </si>
  <si>
    <t>2.3.16.</t>
  </si>
  <si>
    <t>Трансформатор ТСЛ-1600/6  № Т1002 в ТП-335</t>
  </si>
  <si>
    <t>2.3.17.</t>
  </si>
  <si>
    <t>Кран МКТ 25,7</t>
  </si>
  <si>
    <t>2.3.18.</t>
  </si>
  <si>
    <t>2.3.19.</t>
  </si>
  <si>
    <t>Сервер</t>
  </si>
  <si>
    <t xml:space="preserve">Начальник ОКС          </t>
  </si>
  <si>
    <t>Начальник УКС</t>
  </si>
  <si>
    <t>** - согласно проектно-сметной документации с учетом перевода в прогнозные цены планируемого периода с НДС</t>
  </si>
  <si>
    <t>* - с разделением объектов на ПС, ВЛ и КЛ с указанием уровня напряжения</t>
  </si>
  <si>
    <t>Рекнострукция (Обеспечение технологическим присоединением льготной категории заявителей  до 15 кВт и заявителей с мощностью свыше 15 кВт)</t>
  </si>
  <si>
    <t xml:space="preserve">ПСД Реконструкция ПС 35/6 кВ Центральная </t>
  </si>
  <si>
    <t>СИП</t>
  </si>
  <si>
    <t>опоры деревянные на ж/б приставках</t>
  </si>
  <si>
    <t>ААБл-10    3*240</t>
  </si>
  <si>
    <t>2.2.</t>
  </si>
  <si>
    <t>2.</t>
  </si>
  <si>
    <t>2 ТНДС-10000</t>
  </si>
  <si>
    <t>Реконструкция ПС 35/6 кВ "КТП-1" (замена выключателей 35кВ, замена выключателей 6кВ, замена защиты трансформаторов 35/6кВ и отходящих линий, установка транформаторов)</t>
  </si>
  <si>
    <t>1.1.</t>
  </si>
  <si>
    <t xml:space="preserve">ВСЕГО, </t>
  </si>
  <si>
    <t>протяженность, км</t>
  </si>
  <si>
    <t>Марка кабеля</t>
  </si>
  <si>
    <t>Тип опор</t>
  </si>
  <si>
    <t>Нормативный срок службы, лет</t>
  </si>
  <si>
    <t>год ввода в эксплуа-тацию</t>
  </si>
  <si>
    <t>Мощность, МВА</t>
  </si>
  <si>
    <t>Количество и марка силовых трансформаторов, шт</t>
  </si>
  <si>
    <t>год ввода в эксплуатацию</t>
  </si>
  <si>
    <t>тепловая энергия, 
Гкал/час</t>
  </si>
  <si>
    <t>мощность, МВт</t>
  </si>
  <si>
    <t>Нормативный 
срок службы, 
лет</t>
  </si>
  <si>
    <t>прочие</t>
  </si>
  <si>
    <t>оборудование и материалы</t>
  </si>
  <si>
    <t>СМР</t>
  </si>
  <si>
    <t>ПИР</t>
  </si>
  <si>
    <t>Иные 
объекты</t>
  </si>
  <si>
    <t>Линии электропередачи</t>
  </si>
  <si>
    <t xml:space="preserve">Подстанции </t>
  </si>
  <si>
    <t>Генерирующие объекты</t>
  </si>
  <si>
    <t>Технические характеристики созданных объектов</t>
  </si>
  <si>
    <t>Фактически освоено (закрытыми актами выполненных работ), млн. руб.</t>
  </si>
  <si>
    <t>Оклонение фактической стоимости работ от плановой стоимости , млн. руб.</t>
  </si>
  <si>
    <t>Фактически профинансировано, млн. руб.</t>
  </si>
  <si>
    <t>Плановый объем финансирования, млн. руб.*</t>
  </si>
  <si>
    <t>Наименование объекта*</t>
  </si>
  <si>
    <t xml:space="preserve">                          Утверждаю</t>
  </si>
  <si>
    <t>(представляется ежеквартально)</t>
  </si>
  <si>
    <t>Приложение  №  7.2</t>
  </si>
  <si>
    <t>О.М.Шпилевский</t>
  </si>
  <si>
    <t>Отчет об исполнении основных этапов работ по реализации инвестиционной программы
АО "Улан-Удэ Энерго" за 4 квартал 2016г., млн.руб.</t>
  </si>
  <si>
    <t xml:space="preserve">                              Генеральный директор</t>
  </si>
  <si>
    <t>2.3.20.</t>
  </si>
  <si>
    <t>2.3.21.</t>
  </si>
  <si>
    <t>Контрольно-измерительные приборы</t>
  </si>
  <si>
    <t>Реконструкция КЛ-6 кВ ф.8 ф.42 ТЭЦ-1 от ПС-110/6 кВ "ЛВРЗ" до РП-8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</si>
</sst>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d/m;@"/>
    <numFmt numFmtId="167" formatCode="dd/mm/yy;@"/>
    <numFmt numFmtId="168" formatCode="0.000000"/>
    <numFmt numFmtId="169" formatCode="0.00000"/>
    <numFmt numFmtId="170" formatCode="_-* #,##0.0000000_р_._-;\-* #,##0.0000000_р_._-;_-* &quot;-&quot;??_р_._-;_-@_-"/>
    <numFmt numFmtId="171" formatCode="0.0000000"/>
    <numFmt numFmtId="172" formatCode="0.0"/>
    <numFmt numFmtId="173" formatCode="_-* #,##0.000000_р_._-;\-* #,##0.000000_р_._-;_-* &quot;-&quot;??_р_._-;_-@_-"/>
    <numFmt numFmtId="174" formatCode="_-* #,##0.00000_р_._-;\-* #,##0.00000_р_._-;_-* &quot;-&quot;??_р_._-;_-@_-"/>
    <numFmt numFmtId="175" formatCode="_-* #,##0.0000_р_._-;\-* #,##0.0000_р_._-;_-* &quot;-&quot;??_р_._-;_-@_-"/>
    <numFmt numFmtId="176" formatCode="_-* #,##0.000_р_._-;\-* #,##0.000_р_._-;_-* &quot;-&quot;??_р_._-;_-@_-"/>
    <numFmt numFmtId="177" formatCode="0.00000000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right" wrapText="1"/>
    </xf>
    <xf numFmtId="165" fontId="2" fillId="33" borderId="10" xfId="0" applyNumberFormat="1" applyFont="1" applyFill="1" applyBorder="1" applyAlignment="1">
      <alignment horizontal="right" wrapText="1"/>
    </xf>
    <xf numFmtId="1" fontId="0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Font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wrapText="1"/>
    </xf>
    <xf numFmtId="166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165" fontId="0" fillId="33" borderId="10" xfId="0" applyNumberFormat="1" applyFont="1" applyFill="1" applyBorder="1" applyAlignment="1">
      <alignment horizontal="right" wrapText="1"/>
    </xf>
    <xf numFmtId="0" fontId="5" fillId="0" borderId="11" xfId="52" applyFont="1" applyBorder="1" applyAlignment="1">
      <alignment horizontal="left" vertical="center" wrapText="1"/>
      <protection/>
    </xf>
    <xf numFmtId="165" fontId="0" fillId="33" borderId="10" xfId="52" applyNumberFormat="1" applyFont="1" applyFill="1" applyBorder="1" applyAlignment="1">
      <alignment horizontal="right"/>
      <protection/>
    </xf>
    <xf numFmtId="0" fontId="6" fillId="0" borderId="10" xfId="0" applyFont="1" applyBorder="1" applyAlignment="1">
      <alignment horizontal="center"/>
    </xf>
    <xf numFmtId="0" fontId="6" fillId="0" borderId="10" xfId="54" applyNumberFormat="1" applyFont="1" applyBorder="1" applyAlignment="1">
      <alignment horizontal="center" vertical="center" wrapText="1"/>
      <protection/>
    </xf>
    <xf numFmtId="165" fontId="2" fillId="0" borderId="10" xfId="54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/>
    </xf>
    <xf numFmtId="165" fontId="2" fillId="0" borderId="10" xfId="52" applyNumberFormat="1" applyFont="1" applyFill="1" applyBorder="1" applyAlignment="1">
      <alignment horizontal="right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165" fontId="0" fillId="0" borderId="10" xfId="52" applyNumberFormat="1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1" fontId="2" fillId="0" borderId="0" xfId="0" applyNumberFormat="1" applyFont="1" applyAlignment="1">
      <alignment horizontal="left" vertical="top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54" applyNumberFormat="1" applyFont="1" applyBorder="1" applyAlignment="1">
      <alignment horizontal="left" vertical="center" wrapText="1"/>
      <protection/>
    </xf>
    <xf numFmtId="0" fontId="0" fillId="0" borderId="0" xfId="52" applyFont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wrapText="1"/>
    </xf>
    <xf numFmtId="0" fontId="0" fillId="33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0" fillId="33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165" fontId="0" fillId="0" borderId="0" xfId="54" applyNumberFormat="1" applyFont="1" applyFill="1" applyBorder="1" applyAlignment="1">
      <alignment vertical="center" wrapText="1"/>
      <protection/>
    </xf>
    <xf numFmtId="2" fontId="2" fillId="0" borderId="0" xfId="0" applyNumberFormat="1" applyFont="1" applyFill="1" applyBorder="1" applyAlignment="1">
      <alignment wrapText="1"/>
    </xf>
    <xf numFmtId="165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0" fontId="5" fillId="0" borderId="0" xfId="52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 wrapText="1"/>
    </xf>
    <xf numFmtId="165" fontId="0" fillId="0" borderId="10" xfId="54" applyNumberFormat="1" applyFont="1" applyFill="1" applyBorder="1" applyAlignment="1">
      <alignment vertical="center" wrapText="1"/>
      <protection/>
    </xf>
    <xf numFmtId="2" fontId="2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2" xfId="0" applyFont="1" applyBorder="1" applyAlignment="1">
      <alignment vertical="center"/>
    </xf>
    <xf numFmtId="1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wrapText="1"/>
    </xf>
    <xf numFmtId="172" fontId="0" fillId="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6" fillId="0" borderId="10" xfId="52" applyFont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5" fontId="0" fillId="0" borderId="10" xfId="54" applyNumberFormat="1" applyFont="1" applyFill="1" applyBorder="1" applyAlignment="1">
      <alignment horizontal="right" wrapText="1"/>
      <protection/>
    </xf>
    <xf numFmtId="1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distributed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distributed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2" fontId="13" fillId="0" borderId="0" xfId="0" applyNumberFormat="1" applyFont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64" fontId="0" fillId="0" borderId="10" xfId="0" applyNumberFormat="1" applyFont="1" applyFill="1" applyBorder="1" applyAlignment="1">
      <alignment horizontal="right" wrapText="1"/>
    </xf>
    <xf numFmtId="176" fontId="0" fillId="0" borderId="10" xfId="63" applyNumberFormat="1" applyFont="1" applyFill="1" applyBorder="1" applyAlignment="1">
      <alignment horizontal="right" wrapText="1"/>
    </xf>
    <xf numFmtId="164" fontId="0" fillId="33" borderId="10" xfId="0" applyNumberFormat="1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J99"/>
  <sheetViews>
    <sheetView tabSelected="1" view="pageBreakPreview" zoomScale="75" zoomScaleNormal="70" zoomScaleSheetLayoutView="75" zoomScalePageLayoutView="0" workbookViewId="0" topLeftCell="A43">
      <selection activeCell="Q56" sqref="Q56:Q66"/>
    </sheetView>
  </sheetViews>
  <sheetFormatPr defaultColWidth="9.00390625" defaultRowHeight="15.75"/>
  <cols>
    <col min="1" max="1" width="11.75390625" style="1" bestFit="1" customWidth="1"/>
    <col min="2" max="2" width="36.875" style="1" bestFit="1" customWidth="1"/>
    <col min="3" max="3" width="11.625" style="1" customWidth="1"/>
    <col min="4" max="4" width="9.125" style="1" customWidth="1"/>
    <col min="5" max="5" width="11.00390625" style="2" customWidth="1"/>
    <col min="6" max="6" width="10.50390625" style="2" customWidth="1"/>
    <col min="7" max="7" width="7.50390625" style="2" customWidth="1"/>
    <col min="8" max="8" width="10.25390625" style="2" customWidth="1"/>
    <col min="9" max="9" width="8.625" style="2" customWidth="1"/>
    <col min="10" max="10" width="9.25390625" style="2" customWidth="1"/>
    <col min="11" max="11" width="7.875" style="2" customWidth="1"/>
    <col min="12" max="12" width="7.75390625" style="2" customWidth="1"/>
    <col min="13" max="13" width="8.375" style="2" customWidth="1"/>
    <col min="14" max="14" width="8.00390625" style="2" customWidth="1"/>
    <col min="15" max="15" width="8.25390625" style="2" customWidth="1"/>
    <col min="16" max="16" width="8.00390625" style="2" customWidth="1"/>
    <col min="17" max="17" width="8.125" style="2" customWidth="1"/>
    <col min="18" max="18" width="12.50390625" style="41" customWidth="1"/>
    <col min="19" max="19" width="7.75390625" style="41" customWidth="1"/>
    <col min="20" max="20" width="7.50390625" style="41" customWidth="1"/>
    <col min="21" max="21" width="7.625" style="41" customWidth="1"/>
    <col min="22" max="22" width="7.75390625" style="4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9.625" style="2" customWidth="1"/>
    <col min="28" max="28" width="9.125" style="2" customWidth="1"/>
    <col min="29" max="29" width="9.875" style="2" customWidth="1"/>
    <col min="30" max="30" width="7.75390625" style="2" customWidth="1"/>
    <col min="31" max="31" width="9.375" style="2" customWidth="1"/>
    <col min="32" max="32" width="9.00390625" style="2" customWidth="1"/>
    <col min="33" max="33" width="11.75390625" style="2" customWidth="1"/>
    <col min="34" max="34" width="8.625" style="2" customWidth="1"/>
    <col min="35" max="35" width="9.625" style="2" customWidth="1"/>
    <col min="36" max="36" width="13.625" style="1" customWidth="1"/>
    <col min="37" max="16384" width="9.00390625" style="1" customWidth="1"/>
  </cols>
  <sheetData>
    <row r="1" spans="8:36" ht="20.25">
      <c r="H1" s="2" t="s">
        <v>2</v>
      </c>
      <c r="AG1" s="102"/>
      <c r="AH1" s="102"/>
      <c r="AI1" s="102"/>
      <c r="AJ1" s="103" t="s">
        <v>104</v>
      </c>
    </row>
    <row r="2" spans="33:36" ht="20.25">
      <c r="AG2" s="102"/>
      <c r="AH2" s="102"/>
      <c r="AI2" s="102"/>
      <c r="AJ2" s="103" t="s">
        <v>0</v>
      </c>
    </row>
    <row r="3" spans="33:36" ht="20.25">
      <c r="AG3" s="102"/>
      <c r="AH3" s="102"/>
      <c r="AI3" s="102"/>
      <c r="AJ3" s="103" t="s">
        <v>1</v>
      </c>
    </row>
    <row r="4" spans="33:36" ht="20.25">
      <c r="AG4" s="102"/>
      <c r="AH4" s="102"/>
      <c r="AI4" s="108"/>
      <c r="AJ4" s="101"/>
    </row>
    <row r="5" spans="33:36" ht="20.25">
      <c r="AG5" s="102"/>
      <c r="AH5" s="102"/>
      <c r="AI5" s="102"/>
      <c r="AJ5" s="101"/>
    </row>
    <row r="6" spans="1:36" ht="57.75" customHeight="1">
      <c r="A6" s="120" t="s">
        <v>106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</row>
    <row r="7" spans="1:36" ht="38.25" customHeight="1">
      <c r="A7" s="3"/>
      <c r="B7" s="3"/>
      <c r="C7" s="3"/>
      <c r="D7" s="3"/>
      <c r="E7" s="3"/>
      <c r="F7" s="3"/>
      <c r="G7" s="3"/>
      <c r="H7" s="105"/>
      <c r="I7" s="105"/>
      <c r="J7" s="105"/>
      <c r="K7" s="105"/>
      <c r="L7" s="105"/>
      <c r="M7" s="105"/>
      <c r="N7" s="105"/>
      <c r="O7" s="107"/>
      <c r="P7" s="105"/>
      <c r="Q7" s="105"/>
      <c r="R7" s="106" t="s">
        <v>103</v>
      </c>
      <c r="S7" s="106"/>
      <c r="T7" s="106"/>
      <c r="U7" s="106"/>
      <c r="V7" s="106"/>
      <c r="W7" s="3"/>
      <c r="X7" s="3"/>
      <c r="Y7" s="3"/>
      <c r="Z7" s="3"/>
      <c r="AA7" s="105"/>
      <c r="AB7" s="105"/>
      <c r="AC7" s="105"/>
      <c r="AD7" s="105"/>
      <c r="AE7" s="105"/>
      <c r="AF7" s="105"/>
      <c r="AG7" s="105"/>
      <c r="AH7" s="105"/>
      <c r="AI7" s="105"/>
      <c r="AJ7" s="3"/>
    </row>
    <row r="8" spans="33:36" ht="20.25">
      <c r="AG8" s="102"/>
      <c r="AH8" s="102"/>
      <c r="AI8" s="102"/>
      <c r="AJ8" s="103" t="s">
        <v>102</v>
      </c>
    </row>
    <row r="9" spans="31:36" ht="20.25">
      <c r="AE9" s="128" t="s">
        <v>107</v>
      </c>
      <c r="AF9" s="128"/>
      <c r="AG9" s="128"/>
      <c r="AH9" s="128"/>
      <c r="AI9" s="128"/>
      <c r="AJ9" s="128"/>
    </row>
    <row r="10" spans="33:36" ht="20.25">
      <c r="AG10" s="102"/>
      <c r="AH10" s="102"/>
      <c r="AI10" s="102" t="s">
        <v>105</v>
      </c>
      <c r="AJ10" s="103"/>
    </row>
    <row r="11" spans="33:36" ht="20.25">
      <c r="AG11" s="102"/>
      <c r="AH11" s="102"/>
      <c r="AI11" s="102"/>
      <c r="AJ11" s="103"/>
    </row>
    <row r="12" spans="33:36" ht="20.25">
      <c r="AG12" s="102"/>
      <c r="AH12" s="102"/>
      <c r="AI12" s="102"/>
      <c r="AJ12" s="103"/>
    </row>
    <row r="13" spans="33:36" ht="20.25">
      <c r="AG13" s="102"/>
      <c r="AH13" s="102"/>
      <c r="AI13" s="102"/>
      <c r="AJ13" s="104" t="s">
        <v>3</v>
      </c>
    </row>
    <row r="14" spans="33:36" ht="20.25">
      <c r="AG14" s="102"/>
      <c r="AH14" s="102"/>
      <c r="AI14" s="102"/>
      <c r="AJ14" s="103" t="s">
        <v>4</v>
      </c>
    </row>
    <row r="15" spans="33:36" ht="20.25">
      <c r="AG15" s="102"/>
      <c r="AH15" s="102"/>
      <c r="AI15" s="102"/>
      <c r="AJ15" s="103" t="s">
        <v>5</v>
      </c>
    </row>
    <row r="16" spans="33:36" ht="21" thickBot="1">
      <c r="AG16" s="102"/>
      <c r="AH16" s="102"/>
      <c r="AI16" s="102"/>
      <c r="AJ16" s="101"/>
    </row>
    <row r="17" spans="1:36" ht="22.5" customHeight="1">
      <c r="A17" s="121" t="s">
        <v>2</v>
      </c>
      <c r="B17" s="124" t="s">
        <v>101</v>
      </c>
      <c r="C17" s="127" t="s">
        <v>100</v>
      </c>
      <c r="D17" s="127"/>
      <c r="E17" s="127"/>
      <c r="F17" s="127"/>
      <c r="G17" s="127"/>
      <c r="H17" s="127" t="s">
        <v>99</v>
      </c>
      <c r="I17" s="127"/>
      <c r="J17" s="127"/>
      <c r="K17" s="127"/>
      <c r="L17" s="127"/>
      <c r="M17" s="127" t="s">
        <v>98</v>
      </c>
      <c r="N17" s="127"/>
      <c r="O17" s="127"/>
      <c r="P17" s="127"/>
      <c r="Q17" s="127"/>
      <c r="R17" s="112" t="s">
        <v>97</v>
      </c>
      <c r="S17" s="112"/>
      <c r="T17" s="112"/>
      <c r="U17" s="112"/>
      <c r="V17" s="112"/>
      <c r="W17" s="114" t="s">
        <v>96</v>
      </c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5"/>
    </row>
    <row r="18" spans="1:36" ht="27.75" customHeight="1">
      <c r="A18" s="122"/>
      <c r="B18" s="12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3"/>
      <c r="S18" s="113"/>
      <c r="T18" s="113"/>
      <c r="U18" s="113"/>
      <c r="V18" s="113"/>
      <c r="W18" s="116" t="s">
        <v>95</v>
      </c>
      <c r="X18" s="116"/>
      <c r="Y18" s="116"/>
      <c r="Z18" s="116"/>
      <c r="AA18" s="117" t="s">
        <v>94</v>
      </c>
      <c r="AB18" s="117"/>
      <c r="AC18" s="117"/>
      <c r="AD18" s="117"/>
      <c r="AE18" s="117" t="s">
        <v>93</v>
      </c>
      <c r="AF18" s="117"/>
      <c r="AG18" s="117"/>
      <c r="AH18" s="117"/>
      <c r="AI18" s="117"/>
      <c r="AJ18" s="118" t="s">
        <v>92</v>
      </c>
    </row>
    <row r="19" spans="1:36" ht="79.5" customHeight="1">
      <c r="A19" s="123"/>
      <c r="B19" s="126"/>
      <c r="C19" s="21" t="s">
        <v>6</v>
      </c>
      <c r="D19" s="21" t="s">
        <v>91</v>
      </c>
      <c r="E19" s="21" t="s">
        <v>90</v>
      </c>
      <c r="F19" s="21" t="s">
        <v>89</v>
      </c>
      <c r="G19" s="21" t="s">
        <v>88</v>
      </c>
      <c r="H19" s="21" t="s">
        <v>6</v>
      </c>
      <c r="I19" s="21" t="s">
        <v>91</v>
      </c>
      <c r="J19" s="21" t="s">
        <v>90</v>
      </c>
      <c r="K19" s="21" t="s">
        <v>89</v>
      </c>
      <c r="L19" s="21" t="s">
        <v>88</v>
      </c>
      <c r="M19" s="21" t="s">
        <v>6</v>
      </c>
      <c r="N19" s="21" t="s">
        <v>91</v>
      </c>
      <c r="O19" s="21" t="s">
        <v>90</v>
      </c>
      <c r="P19" s="21" t="s">
        <v>89</v>
      </c>
      <c r="Q19" s="21" t="s">
        <v>88</v>
      </c>
      <c r="R19" s="100" t="s">
        <v>6</v>
      </c>
      <c r="S19" s="100" t="s">
        <v>91</v>
      </c>
      <c r="T19" s="100" t="s">
        <v>90</v>
      </c>
      <c r="U19" s="100" t="s">
        <v>89</v>
      </c>
      <c r="V19" s="100" t="s">
        <v>88</v>
      </c>
      <c r="W19" s="98" t="s">
        <v>84</v>
      </c>
      <c r="X19" s="97" t="s">
        <v>87</v>
      </c>
      <c r="Y19" s="21" t="s">
        <v>86</v>
      </c>
      <c r="Z19" s="21" t="s">
        <v>85</v>
      </c>
      <c r="AA19" s="96" t="s">
        <v>84</v>
      </c>
      <c r="AB19" s="95" t="s">
        <v>80</v>
      </c>
      <c r="AC19" s="95" t="s">
        <v>83</v>
      </c>
      <c r="AD19" s="95" t="s">
        <v>82</v>
      </c>
      <c r="AE19" s="96" t="s">
        <v>81</v>
      </c>
      <c r="AF19" s="95" t="s">
        <v>80</v>
      </c>
      <c r="AG19" s="92" t="s">
        <v>79</v>
      </c>
      <c r="AH19" s="92" t="s">
        <v>78</v>
      </c>
      <c r="AI19" s="95" t="s">
        <v>77</v>
      </c>
      <c r="AJ19" s="119"/>
    </row>
    <row r="20" spans="1:36" ht="30.75" customHeight="1">
      <c r="A20" s="4"/>
      <c r="B20" s="99" t="s">
        <v>76</v>
      </c>
      <c r="C20" s="5">
        <f>C21+C25</f>
        <v>88.01442999999999</v>
      </c>
      <c r="D20" s="5"/>
      <c r="E20" s="5">
        <f>E21+E25</f>
        <v>17.4876</v>
      </c>
      <c r="F20" s="5">
        <f>F21+F25</f>
        <v>69.52736999999999</v>
      </c>
      <c r="G20" s="5">
        <f>G21+G25</f>
        <v>0.9994599999999999</v>
      </c>
      <c r="H20" s="5">
        <f>H25+H33</f>
        <v>124.39685357771998</v>
      </c>
      <c r="I20" s="5">
        <f>I25+I33</f>
        <v>1.33</v>
      </c>
      <c r="J20" s="5">
        <f>J25+J33</f>
        <v>49.710085171399996</v>
      </c>
      <c r="K20" s="5">
        <f>K25+K33</f>
        <v>63.95013253111999</v>
      </c>
      <c r="L20" s="5">
        <f>L25+L33</f>
        <v>9.4066358752</v>
      </c>
      <c r="M20" s="5">
        <f>H20-C20</f>
        <v>36.38242357771999</v>
      </c>
      <c r="N20" s="5">
        <f>I20-D20</f>
        <v>1.33</v>
      </c>
      <c r="O20" s="5">
        <f>J20-E20</f>
        <v>32.222485171399995</v>
      </c>
      <c r="P20" s="5">
        <f>K20-F20</f>
        <v>-5.57723746888</v>
      </c>
      <c r="Q20" s="5">
        <f>L20-G20</f>
        <v>8.4071758752</v>
      </c>
      <c r="R20" s="6">
        <f>R25</f>
        <v>132.45766713</v>
      </c>
      <c r="S20" s="6">
        <f>S25</f>
        <v>2.81809051</v>
      </c>
      <c r="T20" s="6">
        <f>T25</f>
        <v>12.448095760000001</v>
      </c>
      <c r="U20" s="6">
        <f>U25</f>
        <v>55.133433059999994</v>
      </c>
      <c r="V20" s="6">
        <f>V25</f>
        <v>62.0580478</v>
      </c>
      <c r="W20" s="98"/>
      <c r="X20" s="97"/>
      <c r="Y20" s="21"/>
      <c r="Z20" s="21"/>
      <c r="AA20" s="96"/>
      <c r="AB20" s="95"/>
      <c r="AC20" s="95"/>
      <c r="AD20" s="95"/>
      <c r="AE20" s="96"/>
      <c r="AF20" s="95"/>
      <c r="AG20" s="92"/>
      <c r="AH20" s="92"/>
      <c r="AI20" s="95"/>
      <c r="AJ20" s="94"/>
    </row>
    <row r="21" spans="1:36" ht="39" customHeight="1">
      <c r="A21" s="4">
        <v>1</v>
      </c>
      <c r="B21" s="9" t="s">
        <v>7</v>
      </c>
      <c r="C21" s="12">
        <f>C22</f>
        <v>39.763521999999995</v>
      </c>
      <c r="D21" s="12"/>
      <c r="E21" s="12">
        <f>E22</f>
        <v>4.285052</v>
      </c>
      <c r="F21" s="12">
        <f>F22</f>
        <v>35.478469999999994</v>
      </c>
      <c r="G21" s="12"/>
      <c r="H21" s="12"/>
      <c r="I21" s="12"/>
      <c r="J21" s="12"/>
      <c r="K21" s="12"/>
      <c r="L21" s="12"/>
      <c r="M21" s="5"/>
      <c r="N21" s="5"/>
      <c r="O21" s="5"/>
      <c r="P21" s="5"/>
      <c r="Q21" s="5"/>
      <c r="R21" s="15"/>
      <c r="S21" s="15"/>
      <c r="T21" s="15"/>
      <c r="U21" s="15"/>
      <c r="V21" s="15"/>
      <c r="W21" s="93"/>
      <c r="X21" s="28"/>
      <c r="Y21" s="30"/>
      <c r="Z21" s="30"/>
      <c r="AA21" s="92"/>
      <c r="AB21" s="82"/>
      <c r="AC21" s="82"/>
      <c r="AD21" s="82"/>
      <c r="AE21" s="92"/>
      <c r="AF21" s="82"/>
      <c r="AG21" s="92"/>
      <c r="AH21" s="92"/>
      <c r="AI21" s="82"/>
      <c r="AJ21" s="91"/>
    </row>
    <row r="22" spans="1:36" ht="43.5" customHeight="1">
      <c r="A22" s="18" t="s">
        <v>75</v>
      </c>
      <c r="B22" s="9" t="s">
        <v>8</v>
      </c>
      <c r="C22" s="12">
        <f>C23+C24</f>
        <v>39.763521999999995</v>
      </c>
      <c r="D22" s="12">
        <f>D23+D24</f>
        <v>0</v>
      </c>
      <c r="E22" s="12">
        <f>E23+E24</f>
        <v>4.285052</v>
      </c>
      <c r="F22" s="12">
        <f>F23+F24</f>
        <v>35.478469999999994</v>
      </c>
      <c r="G22" s="12"/>
      <c r="H22" s="12"/>
      <c r="I22" s="12"/>
      <c r="J22" s="12"/>
      <c r="K22" s="12"/>
      <c r="L22" s="12"/>
      <c r="M22" s="5"/>
      <c r="N22" s="5"/>
      <c r="O22" s="5"/>
      <c r="P22" s="5"/>
      <c r="Q22" s="5"/>
      <c r="R22" s="15"/>
      <c r="S22" s="15"/>
      <c r="T22" s="15"/>
      <c r="U22" s="15"/>
      <c r="V22" s="15"/>
      <c r="W22" s="69"/>
      <c r="X22" s="67"/>
      <c r="Y22" s="67"/>
      <c r="Z22" s="67"/>
      <c r="AA22" s="82"/>
      <c r="AB22" s="90"/>
      <c r="AC22" s="30"/>
      <c r="AD22" s="82"/>
      <c r="AE22" s="67"/>
      <c r="AF22" s="67"/>
      <c r="AG22" s="67"/>
      <c r="AH22" s="67"/>
      <c r="AI22" s="67"/>
      <c r="AJ22" s="85"/>
    </row>
    <row r="23" spans="1:36" ht="115.5" customHeight="1">
      <c r="A23" s="8" t="s">
        <v>9</v>
      </c>
      <c r="B23" s="14" t="s">
        <v>74</v>
      </c>
      <c r="C23" s="15">
        <f>D23+E23+F23</f>
        <v>16.163522</v>
      </c>
      <c r="D23" s="77"/>
      <c r="E23" s="15">
        <f>3.6314*1.18</f>
        <v>4.285052</v>
      </c>
      <c r="F23" s="15">
        <f>10.0665*1.18</f>
        <v>11.878469999999998</v>
      </c>
      <c r="G23" s="77"/>
      <c r="H23" s="15"/>
      <c r="I23" s="88"/>
      <c r="J23" s="88"/>
      <c r="K23" s="88"/>
      <c r="L23" s="89"/>
      <c r="M23" s="6"/>
      <c r="N23" s="6"/>
      <c r="O23" s="6"/>
      <c r="P23" s="6"/>
      <c r="Q23" s="6"/>
      <c r="R23" s="15"/>
      <c r="S23" s="88"/>
      <c r="T23" s="88"/>
      <c r="U23" s="88"/>
      <c r="V23" s="89"/>
      <c r="W23" s="69"/>
      <c r="X23" s="67"/>
      <c r="Y23" s="67"/>
      <c r="Z23" s="67"/>
      <c r="AA23" s="7">
        <v>2016</v>
      </c>
      <c r="AB23" s="7">
        <v>20</v>
      </c>
      <c r="AC23" s="87" t="s">
        <v>73</v>
      </c>
      <c r="AD23" s="7">
        <v>20</v>
      </c>
      <c r="AE23" s="67"/>
      <c r="AF23" s="67"/>
      <c r="AG23" s="67"/>
      <c r="AH23" s="67"/>
      <c r="AI23" s="67"/>
      <c r="AJ23" s="85"/>
    </row>
    <row r="24" spans="1:36" ht="65.25" customHeight="1">
      <c r="A24" s="8" t="s">
        <v>10</v>
      </c>
      <c r="B24" s="16" t="s">
        <v>11</v>
      </c>
      <c r="C24" s="15">
        <f>D24+E24+F24</f>
        <v>23.599999999999998</v>
      </c>
      <c r="D24" s="77"/>
      <c r="E24" s="77"/>
      <c r="F24" s="15">
        <f>20*1.18</f>
        <v>23.599999999999998</v>
      </c>
      <c r="G24" s="77"/>
      <c r="H24" s="17"/>
      <c r="I24" s="88"/>
      <c r="J24" s="88"/>
      <c r="K24" s="88"/>
      <c r="L24" s="88"/>
      <c r="M24" s="6"/>
      <c r="N24" s="6"/>
      <c r="O24" s="6"/>
      <c r="P24" s="6"/>
      <c r="Q24" s="6"/>
      <c r="R24" s="15"/>
      <c r="S24" s="88"/>
      <c r="T24" s="88"/>
      <c r="U24" s="88"/>
      <c r="V24" s="88"/>
      <c r="W24" s="69"/>
      <c r="X24" s="67"/>
      <c r="Y24" s="67"/>
      <c r="Z24" s="67"/>
      <c r="AA24" s="7">
        <v>2016</v>
      </c>
      <c r="AB24" s="7">
        <v>20</v>
      </c>
      <c r="AC24" s="87" t="s">
        <v>73</v>
      </c>
      <c r="AD24" s="7">
        <v>20</v>
      </c>
      <c r="AE24" s="79"/>
      <c r="AF24" s="79"/>
      <c r="AG24" s="67"/>
      <c r="AH24" s="75"/>
      <c r="AI24" s="86"/>
      <c r="AJ24" s="85"/>
    </row>
    <row r="25" spans="1:36" ht="18.75">
      <c r="A25" s="22" t="s">
        <v>72</v>
      </c>
      <c r="B25" s="19" t="s">
        <v>12</v>
      </c>
      <c r="C25" s="10">
        <f>C27</f>
        <v>48.250907999999995</v>
      </c>
      <c r="D25" s="10"/>
      <c r="E25" s="10">
        <f>E27</f>
        <v>13.202548</v>
      </c>
      <c r="F25" s="10">
        <f>F27</f>
        <v>34.0489</v>
      </c>
      <c r="G25" s="10">
        <f>G27</f>
        <v>0.9994599999999999</v>
      </c>
      <c r="H25" s="20">
        <f>H27</f>
        <v>70.53585357771999</v>
      </c>
      <c r="I25" s="20"/>
      <c r="J25" s="20">
        <f>J27</f>
        <v>42.0565051714</v>
      </c>
      <c r="K25" s="20">
        <f>K27</f>
        <v>26.347132531119996</v>
      </c>
      <c r="L25" s="20">
        <f>L27</f>
        <v>2.1322158752</v>
      </c>
      <c r="M25" s="5">
        <f>H25-C25</f>
        <v>22.284945577719995</v>
      </c>
      <c r="N25" s="5"/>
      <c r="O25" s="5">
        <f>J25-E25</f>
        <v>28.853957171399998</v>
      </c>
      <c r="P25" s="5">
        <f>K25-F25</f>
        <v>-7.701767468880007</v>
      </c>
      <c r="Q25" s="5">
        <f>L25-G25</f>
        <v>1.1327558752</v>
      </c>
      <c r="R25" s="6">
        <f>R26+R27+R33</f>
        <v>132.45766713</v>
      </c>
      <c r="S25" s="6">
        <f>S26+S27+S33</f>
        <v>2.81809051</v>
      </c>
      <c r="T25" s="6">
        <f>T26+T27+T33</f>
        <v>12.448095760000001</v>
      </c>
      <c r="U25" s="6">
        <f>U26+U27+U33</f>
        <v>55.133433059999994</v>
      </c>
      <c r="V25" s="6">
        <f>V26+V27+V33</f>
        <v>62.0580478</v>
      </c>
      <c r="W25" s="69"/>
      <c r="X25" s="67"/>
      <c r="Y25" s="67"/>
      <c r="Z25" s="67"/>
      <c r="AA25" s="84"/>
      <c r="AB25" s="67"/>
      <c r="AC25" s="67"/>
      <c r="AD25" s="67"/>
      <c r="AE25" s="67"/>
      <c r="AF25" s="67"/>
      <c r="AG25" s="67"/>
      <c r="AH25" s="67"/>
      <c r="AI25" s="67"/>
      <c r="AJ25" s="72"/>
    </row>
    <row r="26" spans="1:36" ht="56.25">
      <c r="A26" s="22">
        <v>42006</v>
      </c>
      <c r="B26" s="9" t="s">
        <v>8</v>
      </c>
      <c r="C26" s="11"/>
      <c r="D26" s="27"/>
      <c r="E26" s="12"/>
      <c r="F26" s="27"/>
      <c r="G26" s="27"/>
      <c r="H26" s="83"/>
      <c r="I26" s="71"/>
      <c r="J26" s="70"/>
      <c r="K26" s="71"/>
      <c r="L26" s="71"/>
      <c r="M26" s="5"/>
      <c r="N26" s="5"/>
      <c r="O26" s="5"/>
      <c r="P26" s="5"/>
      <c r="Q26" s="5"/>
      <c r="R26" s="15"/>
      <c r="S26" s="15"/>
      <c r="T26" s="15"/>
      <c r="U26" s="15"/>
      <c r="V26" s="15"/>
      <c r="W26" s="69"/>
      <c r="X26" s="67"/>
      <c r="Y26" s="67"/>
      <c r="Z26" s="67"/>
      <c r="AA26" s="82"/>
      <c r="AB26" s="82"/>
      <c r="AC26" s="82"/>
      <c r="AD26" s="30"/>
      <c r="AE26" s="82"/>
      <c r="AF26" s="82"/>
      <c r="AG26" s="82"/>
      <c r="AH26" s="82"/>
      <c r="AI26" s="82"/>
      <c r="AJ26" s="81"/>
    </row>
    <row r="27" spans="1:36" ht="18.75">
      <c r="A27" s="18" t="s">
        <v>71</v>
      </c>
      <c r="B27" s="80" t="s">
        <v>13</v>
      </c>
      <c r="C27" s="10">
        <f>C28+C29+C30+C31+C32</f>
        <v>48.250907999999995</v>
      </c>
      <c r="D27" s="10"/>
      <c r="E27" s="10">
        <f>E28+E29+E30+E31+E32</f>
        <v>13.202548</v>
      </c>
      <c r="F27" s="10">
        <f>F28+F29+F30+F31+F32</f>
        <v>34.0489</v>
      </c>
      <c r="G27" s="10">
        <f>G28+G29+G30+G31+G32</f>
        <v>0.9994599999999999</v>
      </c>
      <c r="H27" s="25">
        <f>H28+H29+H30+H32+H31</f>
        <v>70.53585357771999</v>
      </c>
      <c r="I27" s="25"/>
      <c r="J27" s="25">
        <f>J28+J29+J30+J32+J31</f>
        <v>42.0565051714</v>
      </c>
      <c r="K27" s="25">
        <f>K28+K29+K30+K32+K31</f>
        <v>26.347132531119996</v>
      </c>
      <c r="L27" s="25">
        <f>L28+L29+L30+L32+L31</f>
        <v>2.1322158752</v>
      </c>
      <c r="M27" s="5">
        <f aca="true" t="shared" si="0" ref="M27:M34">H27-C27</f>
        <v>22.284945577719995</v>
      </c>
      <c r="N27" s="5"/>
      <c r="O27" s="5">
        <f>J27-E27</f>
        <v>28.853957171399998</v>
      </c>
      <c r="P27" s="5">
        <f>K27-F27</f>
        <v>-7.701767468880007</v>
      </c>
      <c r="Q27" s="5">
        <f>L27-G27</f>
        <v>1.1327558752</v>
      </c>
      <c r="R27" s="5">
        <f>SUM(R28:R32)</f>
        <v>81.07697343000001</v>
      </c>
      <c r="S27" s="5">
        <f>SUM(S28:S32)</f>
        <v>0</v>
      </c>
      <c r="T27" s="5">
        <f>SUM(T28:T32)</f>
        <v>7.65679703</v>
      </c>
      <c r="U27" s="5">
        <f>SUM(U28:U32)</f>
        <v>27.653748999999998</v>
      </c>
      <c r="V27" s="5">
        <f>SUM(V28:V32)</f>
        <v>45.7664274</v>
      </c>
      <c r="W27" s="69"/>
      <c r="X27" s="67"/>
      <c r="Y27" s="67"/>
      <c r="Z27" s="67"/>
      <c r="AA27" s="67"/>
      <c r="AB27" s="67"/>
      <c r="AC27" s="68"/>
      <c r="AD27" s="67"/>
      <c r="AE27" s="67"/>
      <c r="AF27" s="67"/>
      <c r="AG27" s="67"/>
      <c r="AH27" s="67"/>
      <c r="AI27" s="67"/>
      <c r="AJ27" s="72"/>
    </row>
    <row r="28" spans="1:36" ht="39" customHeight="1">
      <c r="A28" s="8" t="s">
        <v>14</v>
      </c>
      <c r="B28" s="24" t="s">
        <v>15</v>
      </c>
      <c r="C28" s="15">
        <f>D28+E28+F28+G28</f>
        <v>3.1130759999999995</v>
      </c>
      <c r="D28" s="15"/>
      <c r="E28" s="15">
        <f>1.0872*1.18</f>
        <v>1.2828959999999998</v>
      </c>
      <c r="F28" s="15">
        <f>1.551*1.18</f>
        <v>1.83018</v>
      </c>
      <c r="G28" s="77"/>
      <c r="H28" s="25">
        <f>I28+J28+K28+L28</f>
        <v>1.2579432083199995</v>
      </c>
      <c r="I28" s="71"/>
      <c r="J28" s="70">
        <f>1.90646173*1.18-1.04366865</f>
        <v>1.2059561913999997</v>
      </c>
      <c r="K28" s="70">
        <f>0.035416984*1.18</f>
        <v>0.04179204112</v>
      </c>
      <c r="L28" s="70">
        <f>0.00863981*1.18</f>
        <v>0.010194975799999999</v>
      </c>
      <c r="M28" s="12">
        <f t="shared" si="0"/>
        <v>-1.85513279168</v>
      </c>
      <c r="N28" s="12"/>
      <c r="O28" s="12">
        <f aca="true" t="shared" si="1" ref="O28:P30">J28-E28</f>
        <v>-0.07693980860000016</v>
      </c>
      <c r="P28" s="12">
        <f t="shared" si="1"/>
        <v>-1.78838795888</v>
      </c>
      <c r="Q28" s="12"/>
      <c r="R28" s="12">
        <f>S28+T28+U28+V28</f>
        <v>2.1926259999999997</v>
      </c>
      <c r="S28" s="70"/>
      <c r="T28" s="70"/>
      <c r="U28" s="70">
        <f>1.117987</f>
        <v>1.117987</v>
      </c>
      <c r="V28" s="70">
        <f>1.066053+0.008586</f>
        <v>1.074639</v>
      </c>
      <c r="W28" s="69"/>
      <c r="X28" s="67"/>
      <c r="Y28" s="67"/>
      <c r="Z28" s="67"/>
      <c r="AA28" s="79"/>
      <c r="AB28" s="75"/>
      <c r="AC28" s="68"/>
      <c r="AD28" s="75"/>
      <c r="AE28" s="76">
        <v>2016</v>
      </c>
      <c r="AF28" s="76">
        <v>23</v>
      </c>
      <c r="AG28" s="74"/>
      <c r="AH28" s="74" t="s">
        <v>70</v>
      </c>
      <c r="AI28" s="78">
        <v>1.4</v>
      </c>
      <c r="AJ28" s="72"/>
    </row>
    <row r="29" spans="1:36" ht="37.5">
      <c r="A29" s="8" t="s">
        <v>16</v>
      </c>
      <c r="B29" s="24" t="s">
        <v>17</v>
      </c>
      <c r="C29" s="15">
        <f>D29+E29+F29+G29</f>
        <v>4.119852</v>
      </c>
      <c r="D29" s="15"/>
      <c r="E29" s="15">
        <f>2.1874*1.18</f>
        <v>2.5811319999999998</v>
      </c>
      <c r="F29" s="111">
        <f>1.304*1.18</f>
        <v>1.5387199999999999</v>
      </c>
      <c r="G29" s="77"/>
      <c r="H29" s="25">
        <f>I29+J29+K29+L29</f>
        <v>4.157010369400001</v>
      </c>
      <c r="I29" s="70"/>
      <c r="J29" s="70">
        <f>2.585211*1.18</f>
        <v>3.05054898</v>
      </c>
      <c r="K29" s="70">
        <f>3.271421-2.17398051</f>
        <v>1.0974404900000003</v>
      </c>
      <c r="L29" s="70">
        <f>0.00764483*1.18</f>
        <v>0.009020899399999999</v>
      </c>
      <c r="M29" s="12">
        <f>H29-C29</f>
        <v>0.03715836940000106</v>
      </c>
      <c r="N29" s="12"/>
      <c r="O29" s="12">
        <f t="shared" si="1"/>
        <v>0.4694169800000001</v>
      </c>
      <c r="P29" s="12">
        <f t="shared" si="1"/>
        <v>-0.44127950999999954</v>
      </c>
      <c r="Q29" s="12">
        <f>L29-G29</f>
        <v>0.009020899399999999</v>
      </c>
      <c r="R29" s="12">
        <f>S29+T29+U29+V29</f>
        <v>3.539898</v>
      </c>
      <c r="S29" s="70"/>
      <c r="T29" s="70"/>
      <c r="U29" s="70"/>
      <c r="V29" s="70">
        <v>3.539898</v>
      </c>
      <c r="W29" s="69"/>
      <c r="X29" s="67"/>
      <c r="Y29" s="67"/>
      <c r="Z29" s="67"/>
      <c r="AA29" s="67"/>
      <c r="AB29" s="67"/>
      <c r="AC29" s="68"/>
      <c r="AD29" s="67"/>
      <c r="AE29" s="76">
        <v>2016</v>
      </c>
      <c r="AF29" s="76">
        <v>23</v>
      </c>
      <c r="AG29" s="74"/>
      <c r="AH29" s="74" t="s">
        <v>70</v>
      </c>
      <c r="AI29" s="76">
        <v>1</v>
      </c>
      <c r="AJ29" s="72"/>
    </row>
    <row r="30" spans="1:36" ht="93.75">
      <c r="A30" s="13" t="s">
        <v>18</v>
      </c>
      <c r="B30" s="24" t="s">
        <v>19</v>
      </c>
      <c r="C30" s="15">
        <f>D30+E30+F30+G30</f>
        <v>16.418519999999997</v>
      </c>
      <c r="D30" s="12"/>
      <c r="E30" s="12">
        <f>2.914*1.18</f>
        <v>3.43852</v>
      </c>
      <c r="F30" s="12">
        <f>11*1.18</f>
        <v>12.979999999999999</v>
      </c>
      <c r="G30" s="27"/>
      <c r="H30" s="25">
        <f>J30+K30+L30</f>
        <v>48.5079</v>
      </c>
      <c r="I30" s="70"/>
      <c r="J30" s="70">
        <f>6.666+1.071+11.467+14.62+2</f>
        <v>35.824</v>
      </c>
      <c r="K30" s="70">
        <f>4.52+2.35+4.186+3.0079-K49-K51-K42</f>
        <v>11.796899999999999</v>
      </c>
      <c r="L30" s="70">
        <f>0.503+0.254+0.13</f>
        <v>0.887</v>
      </c>
      <c r="M30" s="12">
        <f t="shared" si="0"/>
        <v>32.089380000000006</v>
      </c>
      <c r="N30" s="12"/>
      <c r="O30" s="12">
        <f t="shared" si="1"/>
        <v>32.38548</v>
      </c>
      <c r="P30" s="12">
        <f t="shared" si="1"/>
        <v>-1.1830999999999996</v>
      </c>
      <c r="Q30" s="12"/>
      <c r="R30" s="12">
        <f>S30+T30+U30+V30</f>
        <v>63.39322001</v>
      </c>
      <c r="S30" s="70"/>
      <c r="T30" s="70">
        <f>5.955+0.02679703</f>
        <v>5.98179703</v>
      </c>
      <c r="U30" s="70">
        <f>3.466+14.025+0.21186441+0.01714817</f>
        <v>17.72001258</v>
      </c>
      <c r="V30" s="70">
        <f>39.658+2.585-1.135-1.46+0.02475+0.01064288+0.00801752</f>
        <v>39.6914104</v>
      </c>
      <c r="W30" s="69"/>
      <c r="X30" s="67"/>
      <c r="Y30" s="67"/>
      <c r="Z30" s="67"/>
      <c r="AA30" s="67"/>
      <c r="AB30" s="67"/>
      <c r="AC30" s="68"/>
      <c r="AD30" s="67"/>
      <c r="AE30" s="73">
        <v>2016</v>
      </c>
      <c r="AF30" s="67"/>
      <c r="AG30" s="75" t="s">
        <v>69</v>
      </c>
      <c r="AH30" s="74" t="s">
        <v>68</v>
      </c>
      <c r="AI30" s="73">
        <v>10</v>
      </c>
      <c r="AJ30" s="72"/>
    </row>
    <row r="31" spans="1:36" ht="18.75">
      <c r="A31" s="13" t="s">
        <v>20</v>
      </c>
      <c r="B31" s="24" t="s">
        <v>21</v>
      </c>
      <c r="C31" s="15">
        <f>D31+E31+F31+G31</f>
        <v>0.9994599999999999</v>
      </c>
      <c r="D31" s="11"/>
      <c r="E31" s="11"/>
      <c r="F31" s="11"/>
      <c r="G31" s="11">
        <f>0.847*1.18</f>
        <v>0.9994599999999999</v>
      </c>
      <c r="H31" s="25">
        <f>L31</f>
        <v>1.226</v>
      </c>
      <c r="I31" s="12"/>
      <c r="J31" s="12"/>
      <c r="K31" s="12"/>
      <c r="L31" s="12">
        <f>0.254+0.178+0.299+0.641-0.105-0.041</f>
        <v>1.226</v>
      </c>
      <c r="M31" s="12">
        <f t="shared" si="0"/>
        <v>0.22654000000000007</v>
      </c>
      <c r="N31" s="12"/>
      <c r="O31" s="12"/>
      <c r="P31" s="12"/>
      <c r="Q31" s="12">
        <f>L31-G31</f>
        <v>0.22654000000000007</v>
      </c>
      <c r="R31" s="12">
        <f>S31+T31+U31+V31</f>
        <v>1.46048</v>
      </c>
      <c r="S31" s="12"/>
      <c r="T31" s="12"/>
      <c r="U31" s="12"/>
      <c r="V31" s="12">
        <v>1.46048</v>
      </c>
      <c r="W31" s="69"/>
      <c r="X31" s="67"/>
      <c r="Y31" s="67"/>
      <c r="Z31" s="67"/>
      <c r="AA31" s="67"/>
      <c r="AB31" s="67"/>
      <c r="AC31" s="68"/>
      <c r="AD31" s="67"/>
      <c r="AE31" s="67"/>
      <c r="AF31" s="67"/>
      <c r="AG31" s="67"/>
      <c r="AH31" s="67"/>
      <c r="AI31" s="67"/>
      <c r="AJ31" s="72"/>
    </row>
    <row r="32" spans="1:36" ht="56.25">
      <c r="A32" s="13" t="s">
        <v>22</v>
      </c>
      <c r="B32" s="24" t="s">
        <v>23</v>
      </c>
      <c r="C32" s="15">
        <f>D32+E32+F32+G32</f>
        <v>23.599999999999998</v>
      </c>
      <c r="D32" s="12"/>
      <c r="E32" s="12">
        <f>5*1.18</f>
        <v>5.8999999999999995</v>
      </c>
      <c r="F32" s="12">
        <f>15*1.18</f>
        <v>17.7</v>
      </c>
      <c r="G32" s="27"/>
      <c r="H32" s="25">
        <f>I32+J32+K32+L32</f>
        <v>15.387</v>
      </c>
      <c r="I32" s="71"/>
      <c r="J32" s="70">
        <v>1.976</v>
      </c>
      <c r="K32" s="70">
        <v>13.411</v>
      </c>
      <c r="L32" s="70"/>
      <c r="M32" s="12">
        <f t="shared" si="0"/>
        <v>-8.212999999999997</v>
      </c>
      <c r="N32" s="12"/>
      <c r="O32" s="12">
        <f>J32-E32</f>
        <v>-3.9239999999999995</v>
      </c>
      <c r="P32" s="12"/>
      <c r="Q32" s="12"/>
      <c r="R32" s="12">
        <f>S32+T32+U32+V32</f>
        <v>10.49074942</v>
      </c>
      <c r="S32" s="70"/>
      <c r="T32" s="70">
        <v>1.675</v>
      </c>
      <c r="U32" s="70">
        <f>0.08214942+1.166+7.534+0.0336</f>
        <v>8.81574942</v>
      </c>
      <c r="V32" s="70"/>
      <c r="W32" s="69"/>
      <c r="X32" s="67"/>
      <c r="Y32" s="67"/>
      <c r="Z32" s="67"/>
      <c r="AA32" s="67"/>
      <c r="AB32" s="67"/>
      <c r="AC32" s="68"/>
      <c r="AD32" s="67"/>
      <c r="AE32" s="67"/>
      <c r="AF32" s="67"/>
      <c r="AG32" s="67"/>
      <c r="AH32" s="67"/>
      <c r="AI32" s="67"/>
      <c r="AJ32" s="72"/>
    </row>
    <row r="33" spans="1:36" ht="18.75">
      <c r="A33" s="18" t="s">
        <v>24</v>
      </c>
      <c r="B33" s="24" t="s">
        <v>25</v>
      </c>
      <c r="C33" s="11"/>
      <c r="D33" s="27"/>
      <c r="E33" s="27"/>
      <c r="F33" s="27"/>
      <c r="G33" s="27"/>
      <c r="H33" s="23">
        <f>SUM(H34:H54)</f>
        <v>53.86099999999999</v>
      </c>
      <c r="I33" s="23">
        <f>SUM(I34:I54)</f>
        <v>1.33</v>
      </c>
      <c r="J33" s="23">
        <f>SUM(J34:J54)</f>
        <v>7.65358</v>
      </c>
      <c r="K33" s="23">
        <f>SUM(K34:K54)</f>
        <v>37.602999999999994</v>
      </c>
      <c r="L33" s="23">
        <f>SUM(L34:L54)</f>
        <v>7.27442</v>
      </c>
      <c r="M33" s="12">
        <f t="shared" si="0"/>
        <v>53.86099999999999</v>
      </c>
      <c r="N33" s="12">
        <f>I33-D33</f>
        <v>1.33</v>
      </c>
      <c r="O33" s="12">
        <f>J33-E33</f>
        <v>7.65358</v>
      </c>
      <c r="P33" s="12"/>
      <c r="Q33" s="12">
        <f>L33-G33</f>
        <v>7.27442</v>
      </c>
      <c r="R33" s="5">
        <f>R34+R36+R38+R39+R40+R41+R42+R43+R44+R45+R46+R47+R48+R49+R50+R51+R54</f>
        <v>51.380693699999995</v>
      </c>
      <c r="S33" s="5">
        <f>S34+S36+S38+S39+S40+S41+S42+S43+S44+S45+S46+S47+S48+S49+S50+S51+S54</f>
        <v>2.81809051</v>
      </c>
      <c r="T33" s="5">
        <f>T34+T36+T38+T39+T40+T41+T42+T43+T44+T45+T46+T47+T48+T49+T50+T51+T54</f>
        <v>4.791298730000001</v>
      </c>
      <c r="U33" s="5">
        <f>U34+U36+U38+U39+U40+U41+U42+U43+U44+U45+U46+U47+U48+U49+U50+U51+U54</f>
        <v>27.479684059999997</v>
      </c>
      <c r="V33" s="5">
        <f>V34+V36+V38+V39+V40+V41+V42+V43+V44+V45+V46+V47+V48+V49+V50+V51+V54</f>
        <v>16.2916204</v>
      </c>
      <c r="W33" s="69"/>
      <c r="X33" s="67"/>
      <c r="Y33" s="67"/>
      <c r="Z33" s="67"/>
      <c r="AA33" s="67"/>
      <c r="AB33" s="67"/>
      <c r="AC33" s="68"/>
      <c r="AD33" s="67"/>
      <c r="AE33" s="67"/>
      <c r="AF33" s="67"/>
      <c r="AG33" s="67"/>
      <c r="AH33" s="67"/>
      <c r="AI33" s="67"/>
      <c r="AJ33" s="72"/>
    </row>
    <row r="34" spans="1:36" ht="37.5">
      <c r="A34" s="13" t="s">
        <v>26</v>
      </c>
      <c r="B34" s="26" t="s">
        <v>27</v>
      </c>
      <c r="C34" s="11"/>
      <c r="D34" s="27"/>
      <c r="E34" s="27"/>
      <c r="F34" s="27"/>
      <c r="G34" s="27"/>
      <c r="H34" s="25">
        <f>I34+J34+K34+L34</f>
        <v>39.8</v>
      </c>
      <c r="I34" s="70"/>
      <c r="J34" s="70">
        <f>5.581*1.18</f>
        <v>6.58558</v>
      </c>
      <c r="K34" s="70">
        <v>32.897</v>
      </c>
      <c r="L34" s="70">
        <f>0.269*1.18</f>
        <v>0.31742</v>
      </c>
      <c r="M34" s="12">
        <f t="shared" si="0"/>
        <v>39.8</v>
      </c>
      <c r="N34" s="12">
        <f>I34-D34</f>
        <v>0</v>
      </c>
      <c r="O34" s="12">
        <f>J34-E34</f>
        <v>6.58558</v>
      </c>
      <c r="P34" s="12"/>
      <c r="Q34" s="12">
        <f>L34-G34</f>
        <v>0.31742</v>
      </c>
      <c r="R34" s="12">
        <f>S34+T34+U34+V34</f>
        <v>23.767436099999998</v>
      </c>
      <c r="S34" s="12"/>
      <c r="T34" s="12">
        <v>4.73</v>
      </c>
      <c r="U34" s="12">
        <v>18.768019</v>
      </c>
      <c r="V34" s="12">
        <f>0.0120351+0.257382</f>
        <v>0.2694171</v>
      </c>
      <c r="W34" s="69"/>
      <c r="X34" s="67"/>
      <c r="Y34" s="67"/>
      <c r="Z34" s="67"/>
      <c r="AA34" s="67"/>
      <c r="AB34" s="67"/>
      <c r="AC34" s="68"/>
      <c r="AD34" s="67"/>
      <c r="AE34" s="67"/>
      <c r="AF34" s="67"/>
      <c r="AG34" s="67"/>
      <c r="AH34" s="67"/>
      <c r="AI34" s="67"/>
      <c r="AJ34" s="66"/>
    </row>
    <row r="35" spans="1:36" ht="37.5">
      <c r="A35" s="13" t="s">
        <v>28</v>
      </c>
      <c r="B35" s="26" t="s">
        <v>29</v>
      </c>
      <c r="C35" s="11"/>
      <c r="D35" s="27"/>
      <c r="E35" s="27"/>
      <c r="F35" s="27"/>
      <c r="G35" s="27"/>
      <c r="H35" s="25">
        <f>I35+J35+K35+L35</f>
        <v>1.199</v>
      </c>
      <c r="I35" s="70"/>
      <c r="J35" s="70"/>
      <c r="K35" s="70"/>
      <c r="L35" s="70">
        <v>1.199</v>
      </c>
      <c r="M35" s="12">
        <f>H35-C35</f>
        <v>1.199</v>
      </c>
      <c r="N35" s="12">
        <f>I35-D35</f>
        <v>0</v>
      </c>
      <c r="O35" s="12">
        <f>J35-E35</f>
        <v>0</v>
      </c>
      <c r="P35" s="12"/>
      <c r="Q35" s="12">
        <f>L35-G35</f>
        <v>1.199</v>
      </c>
      <c r="R35" s="12"/>
      <c r="S35" s="12"/>
      <c r="T35" s="12"/>
      <c r="U35" s="12"/>
      <c r="V35" s="12"/>
      <c r="W35" s="69"/>
      <c r="X35" s="67"/>
      <c r="Y35" s="67"/>
      <c r="Z35" s="67"/>
      <c r="AA35" s="67"/>
      <c r="AB35" s="67"/>
      <c r="AC35" s="68"/>
      <c r="AD35" s="67"/>
      <c r="AE35" s="67"/>
      <c r="AF35" s="67"/>
      <c r="AG35" s="67"/>
      <c r="AH35" s="67"/>
      <c r="AI35" s="67"/>
      <c r="AJ35" s="66"/>
    </row>
    <row r="36" spans="1:36" ht="18.75">
      <c r="A36" s="13" t="s">
        <v>30</v>
      </c>
      <c r="B36" s="26" t="s">
        <v>31</v>
      </c>
      <c r="C36" s="11"/>
      <c r="D36" s="27"/>
      <c r="E36" s="27"/>
      <c r="F36" s="27"/>
      <c r="G36" s="27"/>
      <c r="H36" s="25">
        <f>I36+J36+K36+L36</f>
        <v>5.758</v>
      </c>
      <c r="I36" s="71"/>
      <c r="J36" s="70"/>
      <c r="K36" s="70"/>
      <c r="L36" s="70">
        <v>5.758</v>
      </c>
      <c r="M36" s="12">
        <f>H36-C36</f>
        <v>5.758</v>
      </c>
      <c r="N36" s="12">
        <f>I36-D36</f>
        <v>0</v>
      </c>
      <c r="O36" s="12">
        <f>J36-E36</f>
        <v>0</v>
      </c>
      <c r="P36" s="12"/>
      <c r="Q36" s="12">
        <f>L36-G36</f>
        <v>5.758</v>
      </c>
      <c r="R36" s="12">
        <f>S36+T36+U36+V36</f>
        <v>15.248</v>
      </c>
      <c r="S36" s="12"/>
      <c r="T36" s="12"/>
      <c r="U36" s="12"/>
      <c r="V36" s="12">
        <v>15.248</v>
      </c>
      <c r="W36" s="69"/>
      <c r="X36" s="67"/>
      <c r="Y36" s="67"/>
      <c r="Z36" s="67"/>
      <c r="AA36" s="67"/>
      <c r="AB36" s="67"/>
      <c r="AC36" s="68"/>
      <c r="AD36" s="67"/>
      <c r="AE36" s="67"/>
      <c r="AF36" s="67"/>
      <c r="AG36" s="67"/>
      <c r="AH36" s="67"/>
      <c r="AI36" s="67"/>
      <c r="AJ36" s="66"/>
    </row>
    <row r="37" spans="1:36" ht="18.75">
      <c r="A37" s="13" t="s">
        <v>32</v>
      </c>
      <c r="B37" s="26" t="s">
        <v>33</v>
      </c>
      <c r="C37" s="11"/>
      <c r="D37" s="27"/>
      <c r="E37" s="27"/>
      <c r="F37" s="27"/>
      <c r="G37" s="27"/>
      <c r="H37" s="25">
        <f>I37+J37+K37+L37</f>
        <v>0.5</v>
      </c>
      <c r="I37" s="71"/>
      <c r="J37" s="70"/>
      <c r="K37" s="70">
        <v>0.5</v>
      </c>
      <c r="L37" s="70"/>
      <c r="M37" s="12">
        <f aca="true" t="shared" si="2" ref="M37:M54">H37-C37</f>
        <v>0.5</v>
      </c>
      <c r="N37" s="12">
        <f aca="true" t="shared" si="3" ref="N37:N54">I37-D37</f>
        <v>0</v>
      </c>
      <c r="O37" s="12">
        <f aca="true" t="shared" si="4" ref="O37:O54">J37-E37</f>
        <v>0</v>
      </c>
      <c r="P37" s="12"/>
      <c r="Q37" s="12">
        <f aca="true" t="shared" si="5" ref="Q37:Q54">L37-G37</f>
        <v>0</v>
      </c>
      <c r="R37" s="12"/>
      <c r="S37" s="12"/>
      <c r="T37" s="12"/>
      <c r="U37" s="12"/>
      <c r="V37" s="12"/>
      <c r="W37" s="69"/>
      <c r="X37" s="67"/>
      <c r="Y37" s="67"/>
      <c r="Z37" s="67"/>
      <c r="AA37" s="67"/>
      <c r="AB37" s="67"/>
      <c r="AC37" s="68"/>
      <c r="AD37" s="67"/>
      <c r="AE37" s="67"/>
      <c r="AF37" s="67"/>
      <c r="AG37" s="67"/>
      <c r="AH37" s="67"/>
      <c r="AI37" s="67"/>
      <c r="AJ37" s="66"/>
    </row>
    <row r="38" spans="1:36" ht="37.5">
      <c r="A38" s="13" t="s">
        <v>34</v>
      </c>
      <c r="B38" s="26" t="s">
        <v>67</v>
      </c>
      <c r="C38" s="11"/>
      <c r="D38" s="27"/>
      <c r="E38" s="27"/>
      <c r="F38" s="27"/>
      <c r="G38" s="27"/>
      <c r="H38" s="12">
        <f>I38</f>
        <v>1.33</v>
      </c>
      <c r="I38" s="70">
        <v>1.33</v>
      </c>
      <c r="J38" s="70"/>
      <c r="K38" s="70"/>
      <c r="L38" s="70" t="s">
        <v>2</v>
      </c>
      <c r="M38" s="12">
        <f t="shared" si="2"/>
        <v>1.33</v>
      </c>
      <c r="N38" s="12">
        <f t="shared" si="3"/>
        <v>1.33</v>
      </c>
      <c r="O38" s="12">
        <f t="shared" si="4"/>
        <v>0</v>
      </c>
      <c r="P38" s="12"/>
      <c r="Q38" s="12">
        <v>0</v>
      </c>
      <c r="R38" s="12">
        <f aca="true" t="shared" si="6" ref="R38:R54">S38+T38+U38+V38</f>
        <v>2.81809051</v>
      </c>
      <c r="S38" s="12">
        <v>2.81809051</v>
      </c>
      <c r="T38" s="12"/>
      <c r="U38" s="12"/>
      <c r="V38" s="12"/>
      <c r="W38" s="69"/>
      <c r="X38" s="67"/>
      <c r="Y38" s="67"/>
      <c r="Z38" s="67"/>
      <c r="AA38" s="67"/>
      <c r="AB38" s="67"/>
      <c r="AC38" s="68"/>
      <c r="AD38" s="67"/>
      <c r="AE38" s="67"/>
      <c r="AF38" s="67"/>
      <c r="AG38" s="67"/>
      <c r="AH38" s="67"/>
      <c r="AI38" s="67"/>
      <c r="AJ38" s="66"/>
    </row>
    <row r="39" spans="1:36" ht="18.75">
      <c r="A39" s="13" t="s">
        <v>36</v>
      </c>
      <c r="B39" s="26" t="s">
        <v>35</v>
      </c>
      <c r="C39" s="11"/>
      <c r="D39" s="27"/>
      <c r="E39" s="27"/>
      <c r="F39" s="27"/>
      <c r="G39" s="27"/>
      <c r="H39" s="12"/>
      <c r="I39" s="71"/>
      <c r="J39" s="70"/>
      <c r="K39" s="70"/>
      <c r="L39" s="70"/>
      <c r="M39" s="12">
        <f t="shared" si="2"/>
        <v>0</v>
      </c>
      <c r="N39" s="12">
        <f t="shared" si="3"/>
        <v>0</v>
      </c>
      <c r="O39" s="12">
        <f t="shared" si="4"/>
        <v>0</v>
      </c>
      <c r="P39" s="12"/>
      <c r="Q39" s="12">
        <f t="shared" si="5"/>
        <v>0</v>
      </c>
      <c r="R39" s="12">
        <f t="shared" si="6"/>
        <v>1.7552783900000002</v>
      </c>
      <c r="S39" s="12"/>
      <c r="T39" s="12">
        <f>0.00150764+0.00309263</f>
        <v>0.00460027</v>
      </c>
      <c r="U39" s="12">
        <f>0.33036707+1.36931105</f>
        <v>1.6996781200000002</v>
      </c>
      <c r="V39" s="12">
        <v>0.051</v>
      </c>
      <c r="W39" s="69"/>
      <c r="X39" s="67"/>
      <c r="Y39" s="67"/>
      <c r="Z39" s="67"/>
      <c r="AA39" s="67"/>
      <c r="AB39" s="67"/>
      <c r="AC39" s="68"/>
      <c r="AD39" s="67"/>
      <c r="AE39" s="67"/>
      <c r="AF39" s="67"/>
      <c r="AG39" s="67"/>
      <c r="AH39" s="67"/>
      <c r="AI39" s="67"/>
      <c r="AJ39" s="66"/>
    </row>
    <row r="40" spans="1:36" ht="18.75">
      <c r="A40" s="13" t="s">
        <v>37</v>
      </c>
      <c r="B40" s="26" t="s">
        <v>38</v>
      </c>
      <c r="C40" s="11"/>
      <c r="D40" s="27"/>
      <c r="E40" s="27"/>
      <c r="F40" s="27"/>
      <c r="G40" s="27"/>
      <c r="H40" s="29"/>
      <c r="I40" s="71"/>
      <c r="J40" s="70"/>
      <c r="K40" s="70"/>
      <c r="L40" s="70"/>
      <c r="M40" s="12">
        <f t="shared" si="2"/>
        <v>0</v>
      </c>
      <c r="N40" s="12">
        <f t="shared" si="3"/>
        <v>0</v>
      </c>
      <c r="O40" s="12">
        <f t="shared" si="4"/>
        <v>0</v>
      </c>
      <c r="P40" s="12"/>
      <c r="Q40" s="12">
        <f t="shared" si="5"/>
        <v>0</v>
      </c>
      <c r="R40" s="12">
        <f t="shared" si="6"/>
        <v>1.4634360700000002</v>
      </c>
      <c r="S40" s="12"/>
      <c r="T40" s="12"/>
      <c r="U40" s="12">
        <f>0.48050847*3</f>
        <v>1.4415254100000001</v>
      </c>
      <c r="V40" s="12">
        <f>0.01095533*2</f>
        <v>0.02191066</v>
      </c>
      <c r="W40" s="69"/>
      <c r="X40" s="67"/>
      <c r="Y40" s="67"/>
      <c r="Z40" s="67"/>
      <c r="AA40" s="67"/>
      <c r="AB40" s="67"/>
      <c r="AC40" s="68"/>
      <c r="AD40" s="67"/>
      <c r="AE40" s="67"/>
      <c r="AF40" s="67"/>
      <c r="AG40" s="67"/>
      <c r="AH40" s="67"/>
      <c r="AI40" s="67"/>
      <c r="AJ40" s="66"/>
    </row>
    <row r="41" spans="1:36" ht="18.75">
      <c r="A41" s="13" t="s">
        <v>39</v>
      </c>
      <c r="B41" s="26" t="s">
        <v>40</v>
      </c>
      <c r="C41" s="11"/>
      <c r="D41" s="27"/>
      <c r="E41" s="27"/>
      <c r="F41" s="27"/>
      <c r="G41" s="27"/>
      <c r="H41" s="29"/>
      <c r="I41" s="71"/>
      <c r="J41" s="70"/>
      <c r="K41" s="70"/>
      <c r="L41" s="70"/>
      <c r="M41" s="12">
        <f t="shared" si="2"/>
        <v>0</v>
      </c>
      <c r="N41" s="12">
        <f t="shared" si="3"/>
        <v>0</v>
      </c>
      <c r="O41" s="12">
        <f t="shared" si="4"/>
        <v>0</v>
      </c>
      <c r="P41" s="12"/>
      <c r="Q41" s="12">
        <f t="shared" si="5"/>
        <v>0</v>
      </c>
      <c r="R41" s="12">
        <f t="shared" si="6"/>
        <v>0.31840242</v>
      </c>
      <c r="S41" s="12"/>
      <c r="T41" s="12">
        <v>0.008039</v>
      </c>
      <c r="U41" s="12">
        <f>0.15395763+0.153957</f>
        <v>0.30791463</v>
      </c>
      <c r="V41" s="12">
        <v>0.00244879</v>
      </c>
      <c r="W41" s="69"/>
      <c r="X41" s="67"/>
      <c r="Y41" s="67"/>
      <c r="Z41" s="67"/>
      <c r="AA41" s="67"/>
      <c r="AB41" s="67"/>
      <c r="AC41" s="68"/>
      <c r="AD41" s="67"/>
      <c r="AE41" s="67"/>
      <c r="AF41" s="67"/>
      <c r="AG41" s="67"/>
      <c r="AH41" s="67"/>
      <c r="AI41" s="67"/>
      <c r="AJ41" s="66"/>
    </row>
    <row r="42" spans="1:36" ht="37.5">
      <c r="A42" s="13" t="s">
        <v>41</v>
      </c>
      <c r="B42" s="26" t="s">
        <v>42</v>
      </c>
      <c r="C42" s="11"/>
      <c r="D42" s="27"/>
      <c r="E42" s="27"/>
      <c r="F42" s="27"/>
      <c r="G42" s="27"/>
      <c r="H42" s="29">
        <f>K42</f>
        <v>0.979</v>
      </c>
      <c r="I42" s="71"/>
      <c r="J42" s="70"/>
      <c r="K42" s="29">
        <v>0.979</v>
      </c>
      <c r="L42" s="70"/>
      <c r="M42" s="12">
        <f t="shared" si="2"/>
        <v>0.979</v>
      </c>
      <c r="N42" s="12">
        <f t="shared" si="3"/>
        <v>0</v>
      </c>
      <c r="O42" s="12">
        <f t="shared" si="4"/>
        <v>0</v>
      </c>
      <c r="P42" s="12"/>
      <c r="Q42" s="12">
        <f t="shared" si="5"/>
        <v>0</v>
      </c>
      <c r="R42" s="109">
        <f t="shared" si="6"/>
        <v>1.017194</v>
      </c>
      <c r="S42" s="12"/>
      <c r="T42" s="12">
        <f>0.016431</f>
        <v>0.016431</v>
      </c>
      <c r="U42" s="12">
        <f>0.979389+0.01637</f>
        <v>0.995759</v>
      </c>
      <c r="V42" s="12">
        <f>0.005004</f>
        <v>0.005004</v>
      </c>
      <c r="W42" s="69"/>
      <c r="X42" s="67"/>
      <c r="Y42" s="67"/>
      <c r="Z42" s="67"/>
      <c r="AA42" s="67"/>
      <c r="AB42" s="67"/>
      <c r="AC42" s="68"/>
      <c r="AD42" s="67"/>
      <c r="AE42" s="67"/>
      <c r="AF42" s="67"/>
      <c r="AG42" s="67"/>
      <c r="AH42" s="67"/>
      <c r="AI42" s="67"/>
      <c r="AJ42" s="66"/>
    </row>
    <row r="43" spans="1:36" ht="18.75">
      <c r="A43" s="13" t="s">
        <v>43</v>
      </c>
      <c r="B43" s="26" t="s">
        <v>44</v>
      </c>
      <c r="C43" s="11"/>
      <c r="D43" s="27"/>
      <c r="E43" s="27"/>
      <c r="F43" s="27"/>
      <c r="G43" s="27"/>
      <c r="H43" s="29"/>
      <c r="I43" s="71"/>
      <c r="J43" s="70"/>
      <c r="K43" s="70"/>
      <c r="L43" s="70"/>
      <c r="M43" s="12">
        <f t="shared" si="2"/>
        <v>0</v>
      </c>
      <c r="N43" s="12">
        <f t="shared" si="3"/>
        <v>0</v>
      </c>
      <c r="O43" s="12">
        <f t="shared" si="4"/>
        <v>0</v>
      </c>
      <c r="P43" s="12"/>
      <c r="Q43" s="12">
        <f t="shared" si="5"/>
        <v>0</v>
      </c>
      <c r="R43" s="12">
        <f t="shared" si="6"/>
        <v>0.02</v>
      </c>
      <c r="S43" s="12"/>
      <c r="T43" s="12"/>
      <c r="U43" s="12"/>
      <c r="V43" s="12">
        <v>0.02</v>
      </c>
      <c r="W43" s="69"/>
      <c r="X43" s="67"/>
      <c r="Y43" s="67"/>
      <c r="Z43" s="67"/>
      <c r="AA43" s="67"/>
      <c r="AB43" s="67"/>
      <c r="AC43" s="68"/>
      <c r="AD43" s="67"/>
      <c r="AE43" s="67"/>
      <c r="AF43" s="67"/>
      <c r="AG43" s="67"/>
      <c r="AH43" s="67"/>
      <c r="AI43" s="67"/>
      <c r="AJ43" s="66"/>
    </row>
    <row r="44" spans="1:36" ht="18.75">
      <c r="A44" s="13" t="s">
        <v>45</v>
      </c>
      <c r="B44" s="26" t="s">
        <v>46</v>
      </c>
      <c r="C44" s="11"/>
      <c r="D44" s="27"/>
      <c r="E44" s="27"/>
      <c r="F44" s="27"/>
      <c r="G44" s="27"/>
      <c r="H44" s="29"/>
      <c r="I44" s="71"/>
      <c r="J44" s="70"/>
      <c r="K44" s="70"/>
      <c r="L44" s="70"/>
      <c r="M44" s="12">
        <f t="shared" si="2"/>
        <v>0</v>
      </c>
      <c r="N44" s="12">
        <f t="shared" si="3"/>
        <v>0</v>
      </c>
      <c r="O44" s="12">
        <f t="shared" si="4"/>
        <v>0</v>
      </c>
      <c r="P44" s="12"/>
      <c r="Q44" s="12">
        <f t="shared" si="5"/>
        <v>0</v>
      </c>
      <c r="R44" s="12">
        <f t="shared" si="6"/>
        <v>0.53</v>
      </c>
      <c r="S44" s="12"/>
      <c r="T44" s="12"/>
      <c r="U44" s="12"/>
      <c r="V44" s="12">
        <v>0.53</v>
      </c>
      <c r="W44" s="69"/>
      <c r="X44" s="67"/>
      <c r="Y44" s="67"/>
      <c r="Z44" s="67"/>
      <c r="AA44" s="67"/>
      <c r="AB44" s="67"/>
      <c r="AC44" s="68"/>
      <c r="AD44" s="67"/>
      <c r="AE44" s="67"/>
      <c r="AF44" s="67"/>
      <c r="AG44" s="67"/>
      <c r="AH44" s="67"/>
      <c r="AI44" s="67"/>
      <c r="AJ44" s="66"/>
    </row>
    <row r="45" spans="1:36" ht="18.75">
      <c r="A45" s="13" t="s">
        <v>47</v>
      </c>
      <c r="B45" s="26" t="s">
        <v>48</v>
      </c>
      <c r="C45" s="11"/>
      <c r="D45" s="27"/>
      <c r="E45" s="27"/>
      <c r="F45" s="27"/>
      <c r="G45" s="27"/>
      <c r="H45" s="29"/>
      <c r="I45" s="71"/>
      <c r="J45" s="70"/>
      <c r="K45" s="70"/>
      <c r="L45" s="70"/>
      <c r="M45" s="12">
        <f t="shared" si="2"/>
        <v>0</v>
      </c>
      <c r="N45" s="12">
        <f t="shared" si="3"/>
        <v>0</v>
      </c>
      <c r="O45" s="12">
        <f t="shared" si="4"/>
        <v>0</v>
      </c>
      <c r="P45" s="12"/>
      <c r="Q45" s="12">
        <f t="shared" si="5"/>
        <v>0</v>
      </c>
      <c r="R45" s="12">
        <f t="shared" si="6"/>
        <v>0.14853683</v>
      </c>
      <c r="S45" s="12"/>
      <c r="T45" s="12">
        <v>0.00092472</v>
      </c>
      <c r="U45" s="12">
        <v>0.14457627</v>
      </c>
      <c r="V45" s="12">
        <v>0.00303584</v>
      </c>
      <c r="W45" s="69"/>
      <c r="X45" s="67"/>
      <c r="Y45" s="67"/>
      <c r="Z45" s="67"/>
      <c r="AA45" s="67"/>
      <c r="AB45" s="67"/>
      <c r="AC45" s="68"/>
      <c r="AD45" s="67"/>
      <c r="AE45" s="67"/>
      <c r="AF45" s="67"/>
      <c r="AG45" s="67"/>
      <c r="AH45" s="67"/>
      <c r="AI45" s="67"/>
      <c r="AJ45" s="66"/>
    </row>
    <row r="46" spans="1:36" ht="18.75">
      <c r="A46" s="13" t="s">
        <v>49</v>
      </c>
      <c r="B46" s="26" t="s">
        <v>50</v>
      </c>
      <c r="C46" s="11"/>
      <c r="D46" s="27"/>
      <c r="E46" s="27"/>
      <c r="F46" s="27"/>
      <c r="G46" s="27"/>
      <c r="H46" s="29"/>
      <c r="I46" s="71"/>
      <c r="J46" s="70"/>
      <c r="K46" s="70"/>
      <c r="L46" s="70"/>
      <c r="M46" s="12">
        <f t="shared" si="2"/>
        <v>0</v>
      </c>
      <c r="N46" s="12">
        <f t="shared" si="3"/>
        <v>0</v>
      </c>
      <c r="O46" s="12">
        <f t="shared" si="4"/>
        <v>0</v>
      </c>
      <c r="P46" s="12"/>
      <c r="Q46" s="12">
        <f t="shared" si="5"/>
        <v>0</v>
      </c>
      <c r="R46" s="12">
        <f t="shared" si="6"/>
        <v>0.09242223999999999</v>
      </c>
      <c r="S46" s="12"/>
      <c r="T46" s="12">
        <f>0.00978222</f>
        <v>0.00978222</v>
      </c>
      <c r="U46" s="12">
        <f>0.07966102</f>
        <v>0.07966102</v>
      </c>
      <c r="V46" s="12">
        <f>0.002979</f>
        <v>0.002979</v>
      </c>
      <c r="W46" s="69"/>
      <c r="X46" s="67"/>
      <c r="Y46" s="67"/>
      <c r="Z46" s="67"/>
      <c r="AA46" s="67"/>
      <c r="AB46" s="67"/>
      <c r="AC46" s="68"/>
      <c r="AD46" s="67"/>
      <c r="AE46" s="67"/>
      <c r="AF46" s="67"/>
      <c r="AG46" s="67"/>
      <c r="AH46" s="67"/>
      <c r="AI46" s="67"/>
      <c r="AJ46" s="66"/>
    </row>
    <row r="47" spans="1:36" ht="37.5">
      <c r="A47" s="13" t="s">
        <v>51</v>
      </c>
      <c r="B47" s="26" t="s">
        <v>52</v>
      </c>
      <c r="C47" s="11"/>
      <c r="D47" s="27"/>
      <c r="E47" s="27"/>
      <c r="F47" s="27"/>
      <c r="G47" s="27"/>
      <c r="H47" s="29"/>
      <c r="I47" s="71"/>
      <c r="J47" s="70"/>
      <c r="K47" s="70"/>
      <c r="L47" s="70"/>
      <c r="M47" s="12">
        <f t="shared" si="2"/>
        <v>0</v>
      </c>
      <c r="N47" s="12">
        <f t="shared" si="3"/>
        <v>0</v>
      </c>
      <c r="O47" s="12">
        <f t="shared" si="4"/>
        <v>0</v>
      </c>
      <c r="P47" s="12"/>
      <c r="Q47" s="12">
        <f t="shared" si="5"/>
        <v>0</v>
      </c>
      <c r="R47" s="12">
        <f t="shared" si="6"/>
        <v>0.19986542000000002</v>
      </c>
      <c r="S47" s="12"/>
      <c r="T47" s="12">
        <f>0.0006683</f>
        <v>0.0006683</v>
      </c>
      <c r="U47" s="12">
        <v>0.197003</v>
      </c>
      <c r="V47" s="12">
        <v>0.00219412</v>
      </c>
      <c r="W47" s="69"/>
      <c r="X47" s="67"/>
      <c r="Y47" s="67"/>
      <c r="Z47" s="67"/>
      <c r="AA47" s="67"/>
      <c r="AB47" s="67"/>
      <c r="AC47" s="68"/>
      <c r="AD47" s="67"/>
      <c r="AE47" s="67"/>
      <c r="AF47" s="67"/>
      <c r="AG47" s="67"/>
      <c r="AH47" s="67"/>
      <c r="AI47" s="67"/>
      <c r="AJ47" s="66"/>
    </row>
    <row r="48" spans="1:36" ht="37.5">
      <c r="A48" s="13" t="s">
        <v>53</v>
      </c>
      <c r="B48" s="26" t="s">
        <v>54</v>
      </c>
      <c r="C48" s="11"/>
      <c r="D48" s="27"/>
      <c r="E48" s="27"/>
      <c r="F48" s="27"/>
      <c r="G48" s="27"/>
      <c r="H48" s="29"/>
      <c r="I48" s="71"/>
      <c r="J48" s="70"/>
      <c r="K48" s="70"/>
      <c r="L48" s="70"/>
      <c r="M48" s="12">
        <f t="shared" si="2"/>
        <v>0</v>
      </c>
      <c r="N48" s="12">
        <f t="shared" si="3"/>
        <v>0</v>
      </c>
      <c r="O48" s="12">
        <f t="shared" si="4"/>
        <v>0</v>
      </c>
      <c r="P48" s="12"/>
      <c r="Q48" s="12">
        <f t="shared" si="5"/>
        <v>0</v>
      </c>
      <c r="R48" s="12">
        <f t="shared" si="6"/>
        <v>0.19986542000000002</v>
      </c>
      <c r="S48" s="12"/>
      <c r="T48" s="12">
        <f>0.0006683</f>
        <v>0.0006683</v>
      </c>
      <c r="U48" s="12">
        <v>0.197003</v>
      </c>
      <c r="V48" s="12">
        <v>0.00219412</v>
      </c>
      <c r="W48" s="69"/>
      <c r="X48" s="67"/>
      <c r="Y48" s="67"/>
      <c r="Z48" s="67"/>
      <c r="AA48" s="67"/>
      <c r="AB48" s="67"/>
      <c r="AC48" s="68"/>
      <c r="AD48" s="67"/>
      <c r="AE48" s="67"/>
      <c r="AF48" s="67"/>
      <c r="AG48" s="67"/>
      <c r="AH48" s="67"/>
      <c r="AI48" s="67"/>
      <c r="AJ48" s="66"/>
    </row>
    <row r="49" spans="1:36" ht="37.5">
      <c r="A49" s="13" t="s">
        <v>55</v>
      </c>
      <c r="B49" s="26" t="s">
        <v>56</v>
      </c>
      <c r="C49" s="11"/>
      <c r="D49" s="27"/>
      <c r="E49" s="27"/>
      <c r="F49" s="27"/>
      <c r="G49" s="27"/>
      <c r="H49" s="29">
        <f>K49</f>
        <v>1</v>
      </c>
      <c r="I49" s="71"/>
      <c r="J49" s="70"/>
      <c r="K49" s="29">
        <v>1</v>
      </c>
      <c r="L49" s="70"/>
      <c r="M49" s="12">
        <f t="shared" si="2"/>
        <v>1</v>
      </c>
      <c r="N49" s="12">
        <f t="shared" si="3"/>
        <v>0</v>
      </c>
      <c r="O49" s="12">
        <f t="shared" si="4"/>
        <v>0</v>
      </c>
      <c r="P49" s="12"/>
      <c r="Q49" s="12">
        <f t="shared" si="5"/>
        <v>0</v>
      </c>
      <c r="R49" s="12">
        <f t="shared" si="6"/>
        <v>1.0013161800000001</v>
      </c>
      <c r="S49" s="12"/>
      <c r="T49" s="12">
        <v>0.0003073</v>
      </c>
      <c r="U49" s="12">
        <v>1</v>
      </c>
      <c r="V49" s="12">
        <f>0.00100888</f>
        <v>0.00100888</v>
      </c>
      <c r="W49" s="69"/>
      <c r="X49" s="67"/>
      <c r="Y49" s="67"/>
      <c r="Z49" s="67"/>
      <c r="AA49" s="67"/>
      <c r="AB49" s="67"/>
      <c r="AC49" s="68"/>
      <c r="AD49" s="67"/>
      <c r="AE49" s="67"/>
      <c r="AF49" s="67"/>
      <c r="AG49" s="67"/>
      <c r="AH49" s="67"/>
      <c r="AI49" s="67"/>
      <c r="AJ49" s="66"/>
    </row>
    <row r="50" spans="1:36" ht="18.75">
      <c r="A50" s="13" t="s">
        <v>57</v>
      </c>
      <c r="B50" s="26" t="s">
        <v>58</v>
      </c>
      <c r="C50" s="11"/>
      <c r="D50" s="27"/>
      <c r="E50" s="27"/>
      <c r="F50" s="27"/>
      <c r="G50" s="27"/>
      <c r="H50" s="29">
        <f>K50</f>
        <v>1.371</v>
      </c>
      <c r="I50" s="71"/>
      <c r="J50" s="70"/>
      <c r="K50" s="70">
        <v>1.371</v>
      </c>
      <c r="L50" s="70"/>
      <c r="M50" s="12">
        <f t="shared" si="2"/>
        <v>1.371</v>
      </c>
      <c r="N50" s="12">
        <f t="shared" si="3"/>
        <v>0</v>
      </c>
      <c r="O50" s="12">
        <f t="shared" si="4"/>
        <v>0</v>
      </c>
      <c r="P50" s="12"/>
      <c r="Q50" s="12">
        <f t="shared" si="5"/>
        <v>0</v>
      </c>
      <c r="R50" s="110">
        <f t="shared" si="6"/>
        <v>2.05981109</v>
      </c>
      <c r="S50" s="12"/>
      <c r="T50" s="12"/>
      <c r="U50" s="12">
        <v>1.95977</v>
      </c>
      <c r="V50" s="12">
        <f>0.06297682+0.03706427</f>
        <v>0.10004109</v>
      </c>
      <c r="W50" s="69"/>
      <c r="X50" s="67"/>
      <c r="Y50" s="67"/>
      <c r="Z50" s="67"/>
      <c r="AA50" s="67"/>
      <c r="AB50" s="67"/>
      <c r="AC50" s="68"/>
      <c r="AD50" s="67"/>
      <c r="AE50" s="67"/>
      <c r="AF50" s="67"/>
      <c r="AG50" s="67"/>
      <c r="AH50" s="67"/>
      <c r="AI50" s="67"/>
      <c r="AJ50" s="66"/>
    </row>
    <row r="51" spans="1:36" ht="98.25" customHeight="1">
      <c r="A51" s="13" t="s">
        <v>59</v>
      </c>
      <c r="B51" s="26" t="s">
        <v>66</v>
      </c>
      <c r="C51" s="11"/>
      <c r="D51" s="27"/>
      <c r="E51" s="27"/>
      <c r="F51" s="27"/>
      <c r="G51" s="27"/>
      <c r="H51" s="29">
        <f>K51</f>
        <v>0.288</v>
      </c>
      <c r="I51" s="71"/>
      <c r="J51" s="70"/>
      <c r="K51" s="29">
        <v>0.288</v>
      </c>
      <c r="L51" s="70"/>
      <c r="M51" s="12">
        <f t="shared" si="2"/>
        <v>0.288</v>
      </c>
      <c r="N51" s="12">
        <f t="shared" si="3"/>
        <v>0</v>
      </c>
      <c r="O51" s="12">
        <f t="shared" si="4"/>
        <v>0</v>
      </c>
      <c r="P51" s="12"/>
      <c r="Q51" s="12">
        <f t="shared" si="5"/>
        <v>0</v>
      </c>
      <c r="R51" s="12">
        <f t="shared" si="6"/>
        <v>0.36117852999999994</v>
      </c>
      <c r="S51" s="12"/>
      <c r="T51" s="12">
        <f>0.00166465+0.00166465+0.00405744+0.00362939</f>
        <v>0.011016129999999999</v>
      </c>
      <c r="U51" s="12">
        <f>0.05084746+0.00041602+0.12584745+0.00061856+0.09908804+0.06779661+0.00225369</f>
        <v>0.34686782999999993</v>
      </c>
      <c r="V51" s="12">
        <f>0.00048635+0.00048635+0.00121687+0.001105</f>
        <v>0.00329457</v>
      </c>
      <c r="W51" s="69"/>
      <c r="X51" s="67"/>
      <c r="Y51" s="67"/>
      <c r="Z51" s="67"/>
      <c r="AA51" s="67"/>
      <c r="AB51" s="67"/>
      <c r="AC51" s="68"/>
      <c r="AD51" s="67"/>
      <c r="AE51" s="67"/>
      <c r="AF51" s="67"/>
      <c r="AG51" s="67"/>
      <c r="AH51" s="67"/>
      <c r="AI51" s="67"/>
      <c r="AJ51" s="66"/>
    </row>
    <row r="52" spans="1:36" ht="39" customHeight="1">
      <c r="A52" s="13" t="s">
        <v>60</v>
      </c>
      <c r="B52" s="26" t="s">
        <v>110</v>
      </c>
      <c r="C52" s="11"/>
      <c r="D52" s="27"/>
      <c r="E52" s="27"/>
      <c r="F52" s="27"/>
      <c r="G52" s="27"/>
      <c r="H52" s="29">
        <f>I52+J52+K52</f>
        <v>0.568</v>
      </c>
      <c r="I52" s="71"/>
      <c r="J52" s="70"/>
      <c r="K52" s="29">
        <v>0.568</v>
      </c>
      <c r="L52" s="70"/>
      <c r="M52" s="12">
        <f t="shared" si="2"/>
        <v>0.568</v>
      </c>
      <c r="N52" s="12">
        <f t="shared" si="3"/>
        <v>0</v>
      </c>
      <c r="O52" s="12">
        <f t="shared" si="4"/>
        <v>0</v>
      </c>
      <c r="P52" s="12"/>
      <c r="Q52" s="12">
        <f t="shared" si="5"/>
        <v>0</v>
      </c>
      <c r="R52" s="12"/>
      <c r="S52" s="12"/>
      <c r="T52" s="12"/>
      <c r="U52" s="12"/>
      <c r="V52" s="12"/>
      <c r="W52" s="69"/>
      <c r="X52" s="67"/>
      <c r="Y52" s="67"/>
      <c r="Z52" s="67"/>
      <c r="AA52" s="67"/>
      <c r="AB52" s="67"/>
      <c r="AC52" s="68"/>
      <c r="AD52" s="67"/>
      <c r="AE52" s="67"/>
      <c r="AF52" s="67"/>
      <c r="AG52" s="67"/>
      <c r="AH52" s="67"/>
      <c r="AI52" s="67"/>
      <c r="AJ52" s="66"/>
    </row>
    <row r="53" spans="1:36" ht="37.5" customHeight="1">
      <c r="A53" s="13" t="s">
        <v>108</v>
      </c>
      <c r="B53" s="26" t="s">
        <v>111</v>
      </c>
      <c r="C53" s="11"/>
      <c r="D53" s="27"/>
      <c r="E53" s="27"/>
      <c r="F53" s="27"/>
      <c r="G53" s="27"/>
      <c r="H53" s="29">
        <f>I53+J53+K53</f>
        <v>1.068</v>
      </c>
      <c r="I53" s="71"/>
      <c r="J53" s="29">
        <v>1.068</v>
      </c>
      <c r="K53" s="70"/>
      <c r="L53" s="70"/>
      <c r="M53" s="12">
        <f t="shared" si="2"/>
        <v>1.068</v>
      </c>
      <c r="N53" s="12">
        <f t="shared" si="3"/>
        <v>0</v>
      </c>
      <c r="O53" s="12">
        <f t="shared" si="4"/>
        <v>1.068</v>
      </c>
      <c r="P53" s="12"/>
      <c r="Q53" s="12">
        <f t="shared" si="5"/>
        <v>0</v>
      </c>
      <c r="R53" s="12"/>
      <c r="S53" s="12"/>
      <c r="T53" s="12"/>
      <c r="U53" s="12"/>
      <c r="V53" s="12"/>
      <c r="W53" s="69"/>
      <c r="X53" s="67"/>
      <c r="Y53" s="67"/>
      <c r="Z53" s="67"/>
      <c r="AA53" s="67"/>
      <c r="AB53" s="67"/>
      <c r="AC53" s="68"/>
      <c r="AD53" s="67"/>
      <c r="AE53" s="67"/>
      <c r="AF53" s="67"/>
      <c r="AG53" s="67"/>
      <c r="AH53" s="67"/>
      <c r="AI53" s="67"/>
      <c r="AJ53" s="66"/>
    </row>
    <row r="54" spans="1:36" ht="18.75">
      <c r="A54" s="13" t="s">
        <v>109</v>
      </c>
      <c r="B54" s="26" t="s">
        <v>61</v>
      </c>
      <c r="C54" s="11"/>
      <c r="D54" s="27"/>
      <c r="E54" s="27"/>
      <c r="F54" s="27"/>
      <c r="G54" s="27"/>
      <c r="H54" s="29"/>
      <c r="I54" s="71"/>
      <c r="J54" s="70"/>
      <c r="K54" s="70"/>
      <c r="L54" s="70"/>
      <c r="M54" s="12">
        <f t="shared" si="2"/>
        <v>0</v>
      </c>
      <c r="N54" s="12">
        <f t="shared" si="3"/>
        <v>0</v>
      </c>
      <c r="O54" s="12">
        <f t="shared" si="4"/>
        <v>0</v>
      </c>
      <c r="P54" s="12"/>
      <c r="Q54" s="12">
        <f t="shared" si="5"/>
        <v>0</v>
      </c>
      <c r="R54" s="12">
        <f t="shared" si="6"/>
        <v>0.3798605</v>
      </c>
      <c r="S54" s="12"/>
      <c r="T54" s="12">
        <f>0.00657168+0.00228981</f>
        <v>0.00886149</v>
      </c>
      <c r="U54" s="12">
        <f>0.24254238+0.0993644</f>
        <v>0.34190678</v>
      </c>
      <c r="V54" s="12">
        <f>0.02157481+0.00751742</f>
        <v>0.02909223</v>
      </c>
      <c r="W54" s="69"/>
      <c r="X54" s="67"/>
      <c r="Y54" s="67"/>
      <c r="Z54" s="67"/>
      <c r="AA54" s="67"/>
      <c r="AB54" s="67"/>
      <c r="AC54" s="68"/>
      <c r="AD54" s="67"/>
      <c r="AE54" s="67"/>
      <c r="AF54" s="67"/>
      <c r="AG54" s="67"/>
      <c r="AH54" s="67"/>
      <c r="AI54" s="67"/>
      <c r="AJ54" s="66"/>
    </row>
    <row r="55" spans="1:36" ht="18.75">
      <c r="A55" s="31"/>
      <c r="B55" s="65"/>
      <c r="C55" s="64"/>
      <c r="D55" s="63"/>
      <c r="E55" s="63"/>
      <c r="F55" s="63"/>
      <c r="G55" s="63"/>
      <c r="H55" s="62"/>
      <c r="I55" s="61"/>
      <c r="J55" s="60"/>
      <c r="K55" s="60"/>
      <c r="L55" s="60"/>
      <c r="M55" s="35"/>
      <c r="N55" s="35"/>
      <c r="O55" s="35"/>
      <c r="P55" s="35"/>
      <c r="Q55" s="35"/>
      <c r="R55" s="59"/>
      <c r="S55" s="58"/>
      <c r="T55" s="57"/>
      <c r="U55" s="57"/>
      <c r="V55" s="57"/>
      <c r="W55" s="56"/>
      <c r="X55" s="54"/>
      <c r="Y55" s="54"/>
      <c r="Z55" s="54"/>
      <c r="AA55" s="54"/>
      <c r="AB55" s="54"/>
      <c r="AC55" s="55"/>
      <c r="AD55" s="54"/>
      <c r="AE55" s="54"/>
      <c r="AF55" s="54"/>
      <c r="AG55" s="54"/>
      <c r="AH55" s="54"/>
      <c r="AI55" s="54"/>
      <c r="AJ55" s="53"/>
    </row>
    <row r="56" spans="1:36" s="2" customFormat="1" ht="18.75">
      <c r="A56" s="31"/>
      <c r="B56" s="47"/>
      <c r="C56" s="32"/>
      <c r="D56" s="32"/>
      <c r="E56" s="52"/>
      <c r="F56" s="32"/>
      <c r="G56" s="52"/>
      <c r="H56" s="33"/>
      <c r="I56" s="33"/>
      <c r="J56" s="33"/>
      <c r="K56" s="33"/>
      <c r="L56" s="33"/>
      <c r="M56" s="33"/>
      <c r="N56" s="34"/>
      <c r="O56" s="34"/>
      <c r="P56" s="34"/>
      <c r="Q56" s="34"/>
      <c r="R56" s="51"/>
      <c r="S56" s="51"/>
      <c r="T56" s="37"/>
      <c r="U56" s="38"/>
      <c r="V56" s="38"/>
      <c r="W56" s="32"/>
      <c r="X56" s="1"/>
      <c r="Y56" s="1"/>
      <c r="Z56" s="1"/>
      <c r="AJ56" s="1"/>
    </row>
    <row r="57" spans="1:36" s="2" customFormat="1" ht="15.75" customHeight="1">
      <c r="A57" s="40"/>
      <c r="B57" s="47"/>
      <c r="C57" s="39"/>
      <c r="D57" s="39"/>
      <c r="E57" s="39"/>
      <c r="F57" s="39"/>
      <c r="G57" s="39"/>
      <c r="H57" s="50"/>
      <c r="I57" s="50"/>
      <c r="J57" s="50"/>
      <c r="K57" s="50"/>
      <c r="L57" s="50"/>
      <c r="M57" s="39"/>
      <c r="N57" s="39"/>
      <c r="O57" s="39"/>
      <c r="P57" s="39"/>
      <c r="Q57" s="39"/>
      <c r="R57" s="49"/>
      <c r="S57" s="49"/>
      <c r="T57" s="49"/>
      <c r="U57" s="49"/>
      <c r="V57" s="41"/>
      <c r="W57" s="1"/>
      <c r="X57" s="1"/>
      <c r="Y57" s="1"/>
      <c r="Z57" s="1"/>
      <c r="AJ57" s="1"/>
    </row>
    <row r="58" spans="1:36" s="2" customFormat="1" ht="15.75">
      <c r="A58" s="40"/>
      <c r="B58" s="47"/>
      <c r="C58" s="1"/>
      <c r="D58" s="1"/>
      <c r="E58" s="1"/>
      <c r="F58" s="1"/>
      <c r="G58" s="1"/>
      <c r="R58" s="41"/>
      <c r="S58" s="41"/>
      <c r="T58" s="41"/>
      <c r="U58" s="41"/>
      <c r="V58" s="41"/>
      <c r="W58" s="1"/>
      <c r="X58" s="1"/>
      <c r="Y58" s="1"/>
      <c r="Z58" s="1"/>
      <c r="AJ58" s="1"/>
    </row>
    <row r="59" spans="1:36" s="2" customFormat="1" ht="15.75">
      <c r="A59" s="1"/>
      <c r="B59" s="47"/>
      <c r="C59" s="39"/>
      <c r="D59" s="39"/>
      <c r="E59" s="39"/>
      <c r="F59" s="39"/>
      <c r="G59" s="39"/>
      <c r="R59" s="41"/>
      <c r="S59" s="41"/>
      <c r="T59" s="41"/>
      <c r="U59" s="41"/>
      <c r="V59" s="41"/>
      <c r="W59" s="1"/>
      <c r="X59" s="1"/>
      <c r="Y59" s="1"/>
      <c r="Z59" s="1"/>
      <c r="AJ59" s="1"/>
    </row>
    <row r="60" spans="1:36" s="2" customFormat="1" ht="15.75" customHeight="1">
      <c r="A60" s="40"/>
      <c r="B60" s="47"/>
      <c r="C60" s="42"/>
      <c r="D60" s="42"/>
      <c r="E60" s="42"/>
      <c r="F60" s="42"/>
      <c r="G60" s="42"/>
      <c r="H60" s="48"/>
      <c r="I60" s="48"/>
      <c r="J60" s="48"/>
      <c r="K60" s="48"/>
      <c r="R60" s="41"/>
      <c r="S60" s="41"/>
      <c r="T60" s="41"/>
      <c r="U60" s="41"/>
      <c r="V60" s="41"/>
      <c r="W60" s="1"/>
      <c r="X60" s="1"/>
      <c r="Y60" s="1"/>
      <c r="Z60" s="1"/>
      <c r="AJ60" s="1"/>
    </row>
    <row r="61" spans="1:36" s="2" customFormat="1" ht="15.75" customHeight="1">
      <c r="A61" s="40"/>
      <c r="B61" s="47"/>
      <c r="C61" s="39"/>
      <c r="D61" s="39"/>
      <c r="E61" s="39"/>
      <c r="F61" s="39"/>
      <c r="G61" s="39"/>
      <c r="R61" s="41"/>
      <c r="S61" s="41"/>
      <c r="T61" s="41"/>
      <c r="U61" s="41"/>
      <c r="V61" s="41"/>
      <c r="W61" s="1"/>
      <c r="X61" s="1"/>
      <c r="Y61" s="1"/>
      <c r="Z61" s="1"/>
      <c r="AJ61" s="1"/>
    </row>
    <row r="62" spans="1:36" s="2" customFormat="1" ht="15.75">
      <c r="A62" s="40"/>
      <c r="B62" s="47"/>
      <c r="C62" s="1"/>
      <c r="D62" s="1"/>
      <c r="R62" s="41"/>
      <c r="S62" s="41"/>
      <c r="T62" s="41"/>
      <c r="U62" s="41"/>
      <c r="V62" s="41"/>
      <c r="W62" s="1"/>
      <c r="X62" s="1"/>
      <c r="Y62" s="1"/>
      <c r="Z62" s="1"/>
      <c r="AJ62" s="1"/>
    </row>
    <row r="63" spans="1:36" s="2" customFormat="1" ht="15.75">
      <c r="A63" s="40"/>
      <c r="B63" s="47"/>
      <c r="C63" s="1"/>
      <c r="D63" s="1"/>
      <c r="R63" s="41"/>
      <c r="S63" s="41"/>
      <c r="T63" s="41"/>
      <c r="U63" s="41"/>
      <c r="V63" s="41"/>
      <c r="W63" s="1"/>
      <c r="X63" s="1"/>
      <c r="Y63" s="1"/>
      <c r="Z63" s="1"/>
      <c r="AJ63" s="1"/>
    </row>
    <row r="64" spans="2:7" ht="33.75" customHeight="1">
      <c r="B64" s="44"/>
      <c r="E64" s="1"/>
      <c r="F64" s="1"/>
      <c r="G64" s="1"/>
    </row>
    <row r="65" spans="1:2" ht="18.75">
      <c r="A65" s="2"/>
      <c r="B65" s="44"/>
    </row>
    <row r="66" ht="18.75">
      <c r="B66" s="44"/>
    </row>
    <row r="67" spans="2:35" ht="18.75">
      <c r="B67" s="4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2:35" ht="18.75">
      <c r="B68" s="4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2:35" ht="18.75">
      <c r="B69" s="4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5" ht="18.75">
      <c r="B70" s="4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2:35" ht="18.75">
      <c r="B71" s="4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2:35" ht="18.75">
      <c r="B72" s="4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2:35" ht="18.75">
      <c r="B73" s="4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2:35" ht="18.75">
      <c r="B74" s="4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2:35" ht="18.75">
      <c r="B75" s="4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2:35" ht="18.75">
      <c r="B76" s="4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8.75">
      <c r="B77" s="4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2:35" ht="18.75">
      <c r="B78" s="4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2:35" ht="18.75">
      <c r="B79" s="4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2:35" ht="18.75">
      <c r="B80" s="4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2:35" ht="18.75">
      <c r="B81" s="4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2:35" ht="18.75">
      <c r="B82" s="4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2:35" ht="18.75">
      <c r="B83" s="4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2:35" ht="18.75">
      <c r="B84" s="4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2:35" ht="18.75">
      <c r="B85" s="3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2:35" ht="18.75">
      <c r="B86" s="3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2:35" ht="18.75">
      <c r="B87" s="36" t="s">
        <v>62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2:35" ht="18.75">
      <c r="B88" s="3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2:35" ht="18.75">
      <c r="B89" s="36" t="s">
        <v>63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2:35" ht="18.75">
      <c r="B90" s="3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8.75">
      <c r="B91" s="3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2:35" ht="18.75">
      <c r="B92" s="3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2:35" ht="18.75">
      <c r="B93" s="3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2:35" ht="18.75">
      <c r="B94" s="3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2:35" ht="31.5">
      <c r="B95" s="39" t="s">
        <v>65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2:35" ht="15.75">
      <c r="B96" s="1" t="s">
        <v>64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2:35" ht="15.75">
      <c r="B97" s="3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2:35" ht="15.75">
      <c r="B98" s="4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2:35" ht="15.75">
      <c r="B99" s="3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AA99" s="1"/>
      <c r="AB99" s="1"/>
      <c r="AC99" s="1"/>
      <c r="AD99" s="1"/>
      <c r="AE99" s="1"/>
      <c r="AF99" s="1"/>
      <c r="AG99" s="1"/>
      <c r="AH99" s="1"/>
      <c r="AI99" s="1"/>
    </row>
  </sheetData>
  <sheetProtection/>
  <mergeCells count="13">
    <mergeCell ref="A6:AJ6"/>
    <mergeCell ref="A17:A19"/>
    <mergeCell ref="B17:B19"/>
    <mergeCell ref="C17:G18"/>
    <mergeCell ref="H17:L18"/>
    <mergeCell ref="M17:Q18"/>
    <mergeCell ref="AE9:AJ9"/>
    <mergeCell ref="R17:V18"/>
    <mergeCell ref="W17:AJ17"/>
    <mergeCell ref="W18:Z18"/>
    <mergeCell ref="AA18:AD18"/>
    <mergeCell ref="AE18:AI18"/>
    <mergeCell ref="AJ18:AJ1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</dc:creator>
  <cp:keywords/>
  <dc:description/>
  <cp:lastModifiedBy>ans</cp:lastModifiedBy>
  <cp:lastPrinted>2017-02-15T01:20:28Z</cp:lastPrinted>
  <dcterms:created xsi:type="dcterms:W3CDTF">2017-02-07T07:16:45Z</dcterms:created>
  <dcterms:modified xsi:type="dcterms:W3CDTF">2017-02-21T01:04:50Z</dcterms:modified>
  <cp:category/>
  <cp:version/>
  <cp:contentType/>
  <cp:contentStatus/>
</cp:coreProperties>
</file>